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P:\Fondsenmozaiek\BeleggersGiroSysteem\Excel Tools\Jaarruimte\"/>
    </mc:Choice>
  </mc:AlternateContent>
  <xr:revisionPtr revIDLastSave="0" documentId="13_ncr:1_{BF65D9D0-8D8F-4DD8-B5BB-414A156C914A}" xr6:coauthVersionLast="47" xr6:coauthVersionMax="47" xr10:uidLastSave="{00000000-0000-0000-0000-000000000000}"/>
  <workbookProtection workbookAlgorithmName="SHA-512" workbookHashValue="uSao7M6pr75ufw2BMTNRyMc+89h4+kQNh3gjfq+bsXm7PseE7szZyOd2UHw44BDeJD8Wt4sfYHbca13mPlL9Yw==" workbookSaltValue="N4ZOjFDWEGML/mJTd8bl0g==" workbookSpinCount="100000" lockStructure="1"/>
  <bookViews>
    <workbookView xWindow="-108" yWindow="-108" windowWidth="23256" windowHeight="12576" xr2:uid="{0E84A0D1-3A1D-424A-8B11-8EF99E3E87C0}"/>
  </bookViews>
  <sheets>
    <sheet name="Rekenblad" sheetId="2" r:id="rId1"/>
    <sheet name="Kopieren" sheetId="3" state="hidden" r:id="rId2"/>
    <sheet name="Variabelen" sheetId="1" state="hidden" r:id="rId3"/>
    <sheet name="versie" sheetId="4" state="hidden" r:id="rId4"/>
  </sheets>
  <definedNames>
    <definedName name="_xlnm.Print_Area" localSheetId="0">Rekenblad!$A$1:$M$66</definedName>
    <definedName name="AOW_5">Rekenblad!$G$7</definedName>
    <definedName name="de_naam">Rekenblad!$L$1</definedName>
    <definedName name="factorA">Variabelen!$D:$D</definedName>
    <definedName name="FactorNetto">Variabelen!$F:$F</definedName>
    <definedName name="FORmax">Variabelen!$N:$N</definedName>
    <definedName name="FORpercentage">Variabelen!$M:$M</definedName>
    <definedName name="franchise">Variabelen!$B:$B</definedName>
    <definedName name="jaar">Variabelen!$A:$A</definedName>
    <definedName name="loondienst">Rekenblad!$B$8</definedName>
    <definedName name="Max_nettoinhaal">Variabelen!$L:$L</definedName>
    <definedName name="maxjaarruimte">Variabelen!$I:$I</definedName>
    <definedName name="maxPG">Variabelen!$H:$H</definedName>
    <definedName name="MaxReservering">Variabelen!$J:$J</definedName>
    <definedName name="maxsalaris">Variabelen!$O:$O</definedName>
    <definedName name="NettoLijfrente">Variabelen!$G:$G</definedName>
    <definedName name="NTTO">Rekenblad!$N$23</definedName>
    <definedName name="ondernemer">Rekenblad!$B$9</definedName>
    <definedName name="percentage">Variabelen!$C:$C</definedName>
    <definedName name="rekenjaar">Rekenblad!$D$2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 l="1"/>
  <c r="I16" i="1"/>
  <c r="B35" i="2"/>
  <c r="B32" i="2"/>
  <c r="B34" i="2"/>
  <c r="B30" i="2"/>
  <c r="D12" i="2" l="1"/>
  <c r="B22" i="2" l="1"/>
  <c r="F6" i="1"/>
  <c r="F7" i="1"/>
  <c r="F8" i="1"/>
  <c r="F9" i="1"/>
  <c r="F10" i="1"/>
  <c r="F11" i="1"/>
  <c r="F12" i="1"/>
  <c r="F13" i="1"/>
  <c r="F14" i="1"/>
  <c r="F15" i="1"/>
  <c r="F16" i="1"/>
  <c r="F5" i="1"/>
  <c r="L5" i="1"/>
  <c r="L6" i="1"/>
  <c r="L7" i="1"/>
  <c r="L8" i="1"/>
  <c r="L9" i="1"/>
  <c r="L10" i="1"/>
  <c r="L11" i="1"/>
  <c r="L12" i="1"/>
  <c r="L13" i="1"/>
  <c r="L14" i="1"/>
  <c r="L15" i="1"/>
  <c r="G15" i="1"/>
  <c r="G16" i="1"/>
  <c r="A19" i="2"/>
  <c r="G6" i="1"/>
  <c r="G7" i="1"/>
  <c r="G8" i="1"/>
  <c r="G13" i="1"/>
  <c r="G14" i="1"/>
  <c r="G5" i="1"/>
  <c r="M22" i="2"/>
  <c r="L22" i="2"/>
  <c r="K22" i="2"/>
  <c r="J22" i="2"/>
  <c r="I22" i="2"/>
  <c r="H22" i="2"/>
  <c r="G22" i="2"/>
  <c r="F22" i="2"/>
  <c r="E22" i="2"/>
  <c r="D22" i="2"/>
  <c r="A1" i="3" l="1"/>
  <c r="B29" i="2"/>
  <c r="D11" i="2"/>
  <c r="M17" i="2"/>
  <c r="L17" i="2"/>
  <c r="K17" i="2"/>
  <c r="J17" i="2"/>
  <c r="I17" i="2"/>
  <c r="H17" i="2"/>
  <c r="G17" i="2"/>
  <c r="F17" i="2"/>
  <c r="E17" i="2"/>
  <c r="D17" i="2"/>
  <c r="M16" i="2" l="1"/>
  <c r="L16" i="2"/>
  <c r="K16" i="2"/>
  <c r="J16" i="2"/>
  <c r="I16" i="2"/>
  <c r="H16" i="2"/>
  <c r="G16" i="2"/>
  <c r="F16" i="2"/>
  <c r="E16" i="2"/>
  <c r="D16" i="2"/>
  <c r="A20" i="2"/>
  <c r="L1" i="2" a="1"/>
  <c r="L1" i="2"/>
  <c r="A59" i="2" s="1"/>
  <c r="S4" i="1"/>
  <c r="S5" i="1"/>
  <c r="S6" i="1"/>
  <c r="S7" i="1"/>
  <c r="S8" i="1"/>
  <c r="S9" i="1"/>
  <c r="S10" i="1"/>
  <c r="S11" i="1"/>
  <c r="S12" i="1"/>
  <c r="S13" i="1"/>
  <c r="S14" i="1"/>
  <c r="S15" i="1"/>
  <c r="S16" i="1"/>
  <c r="S17" i="1"/>
  <c r="S18" i="1"/>
  <c r="S19" i="1"/>
  <c r="S20" i="1"/>
  <c r="S21" i="1"/>
  <c r="S22" i="1"/>
  <c r="S23" i="1"/>
  <c r="S24" i="1"/>
  <c r="S25" i="1"/>
  <c r="S26" i="1"/>
  <c r="S27" i="1"/>
  <c r="S28" i="1"/>
  <c r="S29" i="1"/>
  <c r="D29" i="2" l="1"/>
  <c r="E29" i="2"/>
  <c r="F29" i="2"/>
  <c r="G29" i="2"/>
  <c r="H29" i="2"/>
  <c r="I29" i="2"/>
  <c r="J29" i="2"/>
  <c r="K29" i="2"/>
  <c r="L29" i="2"/>
  <c r="M29" i="2"/>
  <c r="H15" i="1"/>
  <c r="H16" i="1"/>
  <c r="H17" i="1"/>
  <c r="H18" i="1"/>
  <c r="H19" i="1"/>
  <c r="H20" i="1"/>
  <c r="H21" i="1"/>
  <c r="H22" i="1"/>
  <c r="H23" i="1"/>
  <c r="H24" i="1"/>
  <c r="H25" i="1"/>
  <c r="H7" i="2" l="1"/>
  <c r="A12" i="2" l="1"/>
  <c r="A56" i="2" l="1"/>
  <c r="A54" i="2" l="1"/>
  <c r="A62" i="2"/>
  <c r="B7" i="2" l="1"/>
  <c r="B17" i="2"/>
  <c r="H14" i="1" l="1"/>
  <c r="L11" i="3" l="1"/>
  <c r="K11" i="3"/>
  <c r="J11" i="3"/>
  <c r="I11" i="3"/>
  <c r="H11" i="3"/>
  <c r="G11" i="3"/>
  <c r="F11" i="3"/>
  <c r="E11" i="3"/>
  <c r="D11" i="3"/>
  <c r="C11" i="3"/>
  <c r="B11" i="3"/>
  <c r="L8" i="3"/>
  <c r="K8" i="3"/>
  <c r="J8" i="3"/>
  <c r="I8" i="3"/>
  <c r="H8" i="3"/>
  <c r="G8" i="3"/>
  <c r="F8" i="3"/>
  <c r="E8" i="3"/>
  <c r="D8" i="3"/>
  <c r="L7" i="3"/>
  <c r="K7" i="3"/>
  <c r="J7" i="3"/>
  <c r="I7" i="3"/>
  <c r="H7" i="3"/>
  <c r="G7" i="3"/>
  <c r="F7" i="3"/>
  <c r="E7" i="3"/>
  <c r="D7" i="3"/>
  <c r="L6" i="3"/>
  <c r="K6" i="3"/>
  <c r="J6" i="3"/>
  <c r="I6" i="3"/>
  <c r="H6" i="3"/>
  <c r="G6" i="3"/>
  <c r="F6" i="3"/>
  <c r="E6" i="3"/>
  <c r="D6" i="3"/>
  <c r="L5" i="3"/>
  <c r="K5" i="3"/>
  <c r="J5" i="3"/>
  <c r="I5" i="3"/>
  <c r="H5" i="3"/>
  <c r="G5" i="3"/>
  <c r="F5" i="3"/>
  <c r="E5" i="3"/>
  <c r="D5" i="3"/>
  <c r="C8" i="3"/>
  <c r="C7" i="3"/>
  <c r="C6" i="3"/>
  <c r="B4" i="3"/>
  <c r="C5" i="3"/>
  <c r="B8" i="3"/>
  <c r="B7" i="3"/>
  <c r="B6" i="3"/>
  <c r="B5" i="3"/>
  <c r="L4" i="3" l="1"/>
  <c r="B11" i="2"/>
  <c r="E7" i="2"/>
  <c r="G7" i="2" l="1"/>
  <c r="A7" i="2"/>
  <c r="A10" i="2" l="1"/>
  <c r="A41" i="2"/>
  <c r="D4" i="3" l="1"/>
  <c r="E4" i="3"/>
  <c r="J4" i="3"/>
  <c r="H4" i="3"/>
  <c r="I4" i="3"/>
  <c r="F4" i="3"/>
  <c r="G4" i="3"/>
  <c r="K4" i="3"/>
  <c r="C4" i="3"/>
  <c r="H13" i="1"/>
  <c r="H12" i="1"/>
  <c r="H11" i="1"/>
  <c r="H10" i="1"/>
  <c r="H9" i="1"/>
  <c r="D9" i="1"/>
  <c r="D10" i="1" s="1"/>
  <c r="D11" i="1" s="1"/>
  <c r="D12" i="1" s="1"/>
  <c r="D13" i="1" s="1"/>
  <c r="D14" i="1" s="1"/>
  <c r="D15" i="1" s="1"/>
  <c r="D16" i="1" s="1"/>
  <c r="D17" i="1" s="1"/>
  <c r="D18" i="1" s="1"/>
  <c r="D19" i="1" s="1"/>
  <c r="D20" i="1" s="1"/>
  <c r="D21" i="1" s="1"/>
  <c r="D22" i="1" s="1"/>
  <c r="D23" i="1" s="1"/>
  <c r="D24" i="1" s="1"/>
  <c r="D25" i="1" s="1"/>
  <c r="C9" i="1"/>
  <c r="G9" i="1" s="1"/>
  <c r="I8" i="1"/>
  <c r="H8" i="1"/>
  <c r="H7" i="1"/>
  <c r="H6" i="1"/>
  <c r="H5" i="1"/>
  <c r="A4" i="1"/>
  <c r="A3" i="1" s="1"/>
  <c r="B23" i="2" l="1"/>
  <c r="D23" i="2"/>
  <c r="E23" i="2"/>
  <c r="F23" i="2"/>
  <c r="G23" i="2"/>
  <c r="H23" i="2"/>
  <c r="I23" i="2"/>
  <c r="J23" i="2"/>
  <c r="K23" i="2"/>
  <c r="L23" i="2"/>
  <c r="M23" i="2"/>
  <c r="A27" i="2"/>
  <c r="B33" i="2"/>
  <c r="B31" i="2" s="1"/>
  <c r="D33" i="2"/>
  <c r="D32" i="2"/>
  <c r="D34" i="2"/>
  <c r="D30" i="2"/>
  <c r="D31" i="2" s="1"/>
  <c r="E32" i="2"/>
  <c r="E33" i="2"/>
  <c r="E34" i="2"/>
  <c r="F33" i="2"/>
  <c r="F34" i="2"/>
  <c r="G33" i="2"/>
  <c r="G34" i="2"/>
  <c r="H33" i="2"/>
  <c r="H34" i="2"/>
  <c r="I32" i="2"/>
  <c r="I33" i="2"/>
  <c r="I34" i="2"/>
  <c r="J32" i="2"/>
  <c r="J33" i="2"/>
  <c r="J34" i="2"/>
  <c r="K32" i="2"/>
  <c r="K33" i="2"/>
  <c r="K34" i="2"/>
  <c r="L32" i="2"/>
  <c r="L33" i="2"/>
  <c r="L34" i="2"/>
  <c r="M32" i="2"/>
  <c r="M33" i="2"/>
  <c r="M34" i="2"/>
  <c r="D37" i="2"/>
  <c r="E30" i="2"/>
  <c r="E31" i="2" s="1"/>
  <c r="E37" i="2" s="1"/>
  <c r="F30" i="2"/>
  <c r="F31" i="2" s="1"/>
  <c r="G30" i="2"/>
  <c r="G31" i="2" s="1"/>
  <c r="H30" i="2"/>
  <c r="H31" i="2" s="1"/>
  <c r="I30" i="2"/>
  <c r="I31" i="2" s="1"/>
  <c r="I37" i="2" s="1"/>
  <c r="J30" i="2"/>
  <c r="J31" i="2" s="1"/>
  <c r="J37" i="2" s="1"/>
  <c r="K30" i="2"/>
  <c r="K31" i="2" s="1"/>
  <c r="K37" i="2" s="1"/>
  <c r="L30" i="2"/>
  <c r="L31" i="2" s="1"/>
  <c r="L37" i="2" s="1"/>
  <c r="M30" i="2"/>
  <c r="M31" i="2" s="1"/>
  <c r="M37" i="2" s="1"/>
  <c r="C10" i="1"/>
  <c r="G10" i="1" s="1"/>
  <c r="I9" i="1"/>
  <c r="N23" i="2" l="1"/>
  <c r="B44" i="2" s="1"/>
  <c r="M46" i="2"/>
  <c r="L46" i="2"/>
  <c r="K46" i="2"/>
  <c r="B46" i="2"/>
  <c r="A48" i="2"/>
  <c r="A47" i="2"/>
  <c r="A46" i="2"/>
  <c r="A45" i="2"/>
  <c r="A44" i="2"/>
  <c r="B43" i="2"/>
  <c r="M43" i="2"/>
  <c r="L43" i="2"/>
  <c r="K43" i="2"/>
  <c r="J43" i="2"/>
  <c r="I43" i="2"/>
  <c r="H43" i="2"/>
  <c r="G43" i="2"/>
  <c r="F43" i="2"/>
  <c r="E43" i="2"/>
  <c r="D43" i="2"/>
  <c r="M39" i="2"/>
  <c r="L39" i="2"/>
  <c r="K39" i="2"/>
  <c r="J39" i="2"/>
  <c r="I39" i="2"/>
  <c r="E39" i="2"/>
  <c r="D39" i="2"/>
  <c r="C11" i="1"/>
  <c r="H32" i="2"/>
  <c r="H37" i="2"/>
  <c r="G37" i="2"/>
  <c r="B37" i="2"/>
  <c r="C12" i="1"/>
  <c r="G12" i="1" s="1"/>
  <c r="I11" i="1"/>
  <c r="M44" i="2" l="1"/>
  <c r="L44" i="2"/>
  <c r="K44" i="2"/>
  <c r="J44" i="2"/>
  <c r="J46" i="2" s="1"/>
  <c r="I44" i="2"/>
  <c r="I46" i="2" s="1"/>
  <c r="H44" i="2"/>
  <c r="H46" i="2" s="1"/>
  <c r="F44" i="2"/>
  <c r="F46" i="2" s="1"/>
  <c r="E44" i="2"/>
  <c r="E46" i="2" s="1"/>
  <c r="D44" i="2"/>
  <c r="D46" i="2" s="1"/>
  <c r="G39" i="2"/>
  <c r="H39" i="2"/>
  <c r="G32" i="2"/>
  <c r="G11" i="1"/>
  <c r="G44" i="2" s="1"/>
  <c r="G46" i="2" s="1"/>
  <c r="F32" i="2"/>
  <c r="F37" i="2"/>
  <c r="B39" i="2"/>
  <c r="I12" i="1"/>
  <c r="B47" i="2" l="1"/>
  <c r="B48" i="2"/>
  <c r="F39" i="2"/>
  <c r="B40" i="2" s="1"/>
  <c r="B41" i="2"/>
  <c r="S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<sst xmlns="http://schemas.openxmlformats.org/spreadsheetml/2006/main" count="85" uniqueCount="80">
  <si>
    <t>Franchise</t>
  </si>
  <si>
    <t>Percentage</t>
  </si>
  <si>
    <t>Jaarruimte</t>
  </si>
  <si>
    <t>FOR %</t>
  </si>
  <si>
    <t>Max. FOR</t>
  </si>
  <si>
    <t>Factor A factor</t>
  </si>
  <si>
    <t>Max salaris</t>
  </si>
  <si>
    <t>Max PG</t>
  </si>
  <si>
    <t>Max jaarruimte</t>
  </si>
  <si>
    <t>Naam</t>
  </si>
  <si>
    <t>Geboortedatum</t>
  </si>
  <si>
    <t>Maximale premiegrondslag</t>
  </si>
  <si>
    <t>Percentage jaarruimte</t>
  </si>
  <si>
    <t>Premiegrondslag</t>
  </si>
  <si>
    <t>Waarvan gebruikt</t>
  </si>
  <si>
    <t>Ongebruikte jaarruimte</t>
  </si>
  <si>
    <t>Maximale reserveringsruimte</t>
  </si>
  <si>
    <t>Geboren t/m</t>
  </si>
  <si>
    <t>AOW tabel</t>
  </si>
  <si>
    <t>AOW leeftijd</t>
  </si>
  <si>
    <t>Berekening voor belastingjaar</t>
  </si>
  <si>
    <t>Reserveringsruimte</t>
  </si>
  <si>
    <t>Jaar</t>
  </si>
  <si>
    <t>Max reserv.ruimte 55-</t>
  </si>
  <si>
    <t>Max reserv.ruimte 55+</t>
  </si>
  <si>
    <t>….even kennismaken</t>
  </si>
  <si>
    <t>Ik ben in loondienst (geweest)</t>
  </si>
  <si>
    <t>ja</t>
  </si>
  <si>
    <t>Factor A</t>
  </si>
  <si>
    <t>Winst/verlies</t>
  </si>
  <si>
    <t>Gebruikte jaarruimte</t>
  </si>
  <si>
    <t>Ga je je reserveringsruimte benutten, en wil je volgend jaar opnieuw gebruik kunnen maken van deze berekeningstool? Vul dan hieronder in de vakken hoeveel van de beschikbare reserveringsruimte je daadwerkelijk over het betreffende jaar hebt gebruikt. Werk van rechts naar links.</t>
  </si>
  <si>
    <t>Factor netto</t>
  </si>
  <si>
    <t>Toename FOR</t>
  </si>
  <si>
    <t>2023.06</t>
  </si>
  <si>
    <t>Wijzigingen</t>
  </si>
  <si>
    <t>Versie</t>
  </si>
  <si>
    <t>Berekening jaarruimte gecorrigeerd</t>
  </si>
  <si>
    <t>Lay out aangepast</t>
  </si>
  <si>
    <t>Loondienst ja/nee, ondernemer ja/nee, met voorwaardelijke opmaak</t>
  </si>
  <si>
    <t>2023.07</t>
  </si>
  <si>
    <t>2023.08</t>
  </si>
  <si>
    <t>Leeftijd verbergen</t>
  </si>
  <si>
    <t>Reserveringsruimte aangepast naar38,000</t>
  </si>
  <si>
    <t>Beveiliging toegepast</t>
  </si>
  <si>
    <t>Loondienst nee? Dan loon en factor A buiten de berekening houden</t>
  </si>
  <si>
    <t>Ondernemer nee? Dan winst en FOR buiten de berekening houden</t>
  </si>
  <si>
    <t>AOW</t>
  </si>
  <si>
    <t>AOW+5</t>
  </si>
  <si>
    <t>T. Voorbeeld</t>
  </si>
  <si>
    <t xml:space="preserve">AOW + 5 = geen jaarruimte meer </t>
  </si>
  <si>
    <t>leeftijd aangepast (+1 maand), en verborgen</t>
  </si>
  <si>
    <t>Disclaimer</t>
  </si>
  <si>
    <t>Deze disclaimer kan van tijd tot tijd wijzigen.</t>
  </si>
  <si>
    <t>2023.09</t>
  </si>
  <si>
    <t>Disclaimer toegevoegd</t>
  </si>
  <si>
    <t>Ik ben ondernemer (geweest)</t>
  </si>
  <si>
    <t>Inkomen uit loondienst</t>
  </si>
  <si>
    <t>jaar</t>
  </si>
  <si>
    <t>maanden</t>
  </si>
  <si>
    <t>Kopieer je bovenstaande gegevens naar een geactualiseerde versie? Plak dan alleen Waarden (zonder formules)</t>
  </si>
  <si>
    <t>2025.1</t>
  </si>
  <si>
    <t>variabelen bijgewerkt</t>
  </si>
  <si>
    <t>Premiebedrag A</t>
  </si>
  <si>
    <t>Pensioenpremie OP/PP na pensioendatum</t>
  </si>
  <si>
    <t>A factor</t>
  </si>
  <si>
    <t>Overige uitkeringen/inkomsten</t>
  </si>
  <si>
    <t>Netto lijfrente</t>
  </si>
  <si>
    <t>2025.3</t>
  </si>
  <si>
    <t>2025.2</t>
  </si>
  <si>
    <t>foute verwijzing naar jaarruimte ipv reserveringsruimte gecorrigeerd</t>
  </si>
  <si>
    <t>Premie netto pensioen 2015 tm 2025</t>
  </si>
  <si>
    <t>Premiebedrag A vanaf 2025!Let op bij versie 2026</t>
  </si>
  <si>
    <t>Pensioenpremie OP/PP na pensioendatum, vanaf 2025. Let op bij versie 2026</t>
  </si>
  <si>
    <t>Max netto inhaal</t>
  </si>
  <si>
    <t>Som inkomen</t>
  </si>
  <si>
    <t>inleg netto lijfrente</t>
  </si>
  <si>
    <t>IB tarief</t>
  </si>
  <si>
    <t>Boven max</t>
  </si>
  <si>
    <t>verbergen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</si>
</sst>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 &quot;€&quot;\ * #,##0_ ;_ &quot;€&quot;\ * \-#,##0_ ;_ &quot;€&quot;\ * &quot;-&quot;_ ;_ @_ "/>
    <numFmt numFmtId="44" formatCode="_ &quot;€&quot;\ * #,##0.00_ ;_ &quot;€&quot;\ * \-#,##0.00_ ;_ &quot;€&quot;\ * &quot;-&quot;??_ ;_ @_ "/>
    <numFmt numFmtId="164" formatCode="_-&quot;€&quot;* #,##0_-;_-&quot;€&quot;* #,##0\-;_-&quot;€&quot;* &quot;-&quot;??_-;_-@_-"/>
    <numFmt numFmtId="165" formatCode="0.0%"/>
    <numFmt numFmtId="166" formatCode="_-[$€-2]\ * #,##0_-;_-[$€-2]\ * #,##0\-;_-[$€-2]\ * &quot;-&quot;??_-;_-@_-"/>
    <numFmt numFmtId="167" formatCode="_-* #,##0_-;\-* #,##0_-;_-* &quot;-&quot;??_-;_-@_-"/>
    <numFmt numFmtId="168" formatCode="#,##0.00_ ;\-#,##0.00\ "/>
    <numFmt numFmtId="169" formatCode="[$-413]d\ mmmm\ yyyy;@"/>
    <numFmt numFmtId="170" formatCode="0.0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2"/>
      <color theme="1"/>
      <name val="Calibri"/>
      <family val="2"/>
      <scheme val="minor"/>
    </font>
    <font>
      <sz val="11"/>
      <name val="Calibri"/>
      <family val="2"/>
      <scheme val="minor"/>
    </font>
    <font>
      <i/>
      <sz val="11"/>
      <color theme="1"/>
      <name val="Calibri"/>
      <family val="2"/>
      <scheme val="minor"/>
    </font>
    <font>
      <b/>
      <sz val="12"/>
      <name val="Calibri"/>
      <family val="2"/>
      <scheme val="minor"/>
    </font>
    <font>
      <sz val="11"/>
      <color theme="0"/>
      <name val="Calibri"/>
      <family val="2"/>
      <scheme val="minor"/>
    </font>
    <font>
      <b/>
      <sz val="14"/>
      <color theme="1"/>
      <name val="Calibri"/>
      <family val="2"/>
      <scheme val="minor"/>
    </font>
    <font>
      <b/>
      <sz val="11"/>
      <name val="Calibri"/>
      <family val="2"/>
      <scheme val="minor"/>
    </font>
    <font>
      <b/>
      <i/>
      <sz val="11"/>
      <color theme="1"/>
      <name val="Calibri"/>
      <family val="2"/>
      <scheme val="minor"/>
    </font>
    <font>
      <b/>
      <i/>
      <sz val="14"/>
      <color theme="1"/>
      <name val="Calibri"/>
      <family val="2"/>
      <scheme val="minor"/>
    </font>
    <font>
      <sz val="10"/>
      <color theme="1"/>
      <name val="Calibri"/>
      <family val="2"/>
      <scheme val="minor"/>
    </font>
    <font>
      <i/>
      <sz val="10"/>
      <color theme="1"/>
      <name val="Calibri"/>
      <family val="2"/>
      <scheme val="minor"/>
    </font>
    <font>
      <b/>
      <i/>
      <sz val="11"/>
      <color rgb="FFFF0000"/>
      <name val="Calibri"/>
      <family val="2"/>
      <scheme val="minor"/>
    </font>
    <font>
      <b/>
      <sz val="24"/>
      <color theme="0"/>
      <name val="Calibri"/>
      <family val="2"/>
      <scheme val="minor"/>
    </font>
    <font>
      <sz val="24"/>
      <color theme="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AF272F"/>
        <bgColor indexed="64"/>
      </patternFill>
    </fill>
    <fill>
      <patternFill patternType="solid">
        <fgColor rgb="FF94795D"/>
        <bgColor indexed="64"/>
      </patternFill>
    </fill>
    <fill>
      <patternFill patternType="solid">
        <fgColor rgb="FF70857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59999389629810485"/>
        <bgColor indexed="64"/>
      </patternFill>
    </fill>
  </fills>
  <borders count="8">
    <border>
      <left/>
      <right/>
      <top/>
      <bottom/>
      <diagonal/>
    </border>
    <border>
      <left/>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07">
    <xf numFmtId="0" fontId="0" fillId="0" borderId="0" xfId="0"/>
    <xf numFmtId="0" fontId="3" fillId="0" borderId="0" xfId="0" applyFont="1"/>
    <xf numFmtId="42" fontId="0" fillId="0" borderId="0" xfId="0" applyNumberFormat="1"/>
    <xf numFmtId="0" fontId="4"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0" fillId="2" borderId="1" xfId="0" applyFill="1" applyBorder="1" applyAlignment="1">
      <alignment horizontal="left" vertical="center"/>
    </xf>
    <xf numFmtId="0" fontId="4" fillId="2" borderId="5" xfId="0" applyFont="1" applyFill="1" applyBorder="1" applyAlignment="1">
      <alignment horizontal="left" vertical="center" wrapText="1"/>
    </xf>
    <xf numFmtId="0" fontId="7" fillId="0" borderId="5" xfId="0" applyFont="1" applyBorder="1" applyAlignment="1">
      <alignment horizontal="left" vertical="center" wrapText="1"/>
    </xf>
    <xf numFmtId="164" fontId="0" fillId="2" borderId="4" xfId="1" applyNumberFormat="1" applyFont="1" applyFill="1" applyBorder="1"/>
    <xf numFmtId="166" fontId="0" fillId="2" borderId="4" xfId="1" applyNumberFormat="1" applyFont="1" applyFill="1" applyBorder="1" applyAlignment="1">
      <alignment horizontal="right"/>
    </xf>
    <xf numFmtId="164" fontId="0" fillId="0" borderId="4" xfId="1" applyNumberFormat="1" applyFont="1" applyBorder="1"/>
    <xf numFmtId="166" fontId="0" fillId="0" borderId="4" xfId="1" applyNumberFormat="1" applyFont="1" applyBorder="1" applyAlignment="1">
      <alignment horizontal="right"/>
    </xf>
    <xf numFmtId="164" fontId="0" fillId="0" borderId="4" xfId="1" applyNumberFormat="1" applyFont="1" applyFill="1" applyBorder="1"/>
    <xf numFmtId="166" fontId="0" fillId="0" borderId="4" xfId="1" applyNumberFormat="1" applyFont="1" applyFill="1" applyBorder="1" applyAlignment="1">
      <alignment horizontal="right"/>
    </xf>
    <xf numFmtId="0" fontId="5" fillId="0" borderId="4" xfId="0" applyFont="1" applyBorder="1"/>
    <xf numFmtId="0" fontId="3" fillId="2" borderId="4" xfId="0" applyFont="1" applyFill="1" applyBorder="1" applyAlignment="1">
      <alignment horizontal="right" vertical="top"/>
    </xf>
    <xf numFmtId="0" fontId="10" fillId="0" borderId="4" xfId="0" applyFont="1" applyBorder="1" applyAlignment="1">
      <alignment horizontal="right" vertical="top"/>
    </xf>
    <xf numFmtId="0" fontId="0" fillId="2" borderId="4" xfId="0" applyFill="1" applyBorder="1"/>
    <xf numFmtId="14" fontId="0" fillId="2" borderId="0" xfId="0" applyNumberFormat="1" applyFill="1"/>
    <xf numFmtId="0" fontId="0" fillId="2" borderId="0" xfId="0" applyFill="1"/>
    <xf numFmtId="164" fontId="5" fillId="2" borderId="4" xfId="1" applyNumberFormat="1" applyFont="1" applyFill="1" applyBorder="1"/>
    <xf numFmtId="10" fontId="5" fillId="2" borderId="4" xfId="0" applyNumberFormat="1" applyFont="1" applyFill="1" applyBorder="1"/>
    <xf numFmtId="2" fontId="5" fillId="2" borderId="4" xfId="0" applyNumberFormat="1" applyFont="1" applyFill="1" applyBorder="1"/>
    <xf numFmtId="164" fontId="5" fillId="0" borderId="4" xfId="1" applyNumberFormat="1" applyFont="1" applyFill="1" applyBorder="1"/>
    <xf numFmtId="165" fontId="0" fillId="2" borderId="4" xfId="0" applyNumberFormat="1" applyFill="1" applyBorder="1"/>
    <xf numFmtId="164" fontId="5" fillId="2" borderId="4" xfId="0" applyNumberFormat="1" applyFont="1" applyFill="1" applyBorder="1"/>
    <xf numFmtId="0" fontId="0" fillId="0" borderId="4" xfId="0" applyBorder="1"/>
    <xf numFmtId="164" fontId="5" fillId="0" borderId="4" xfId="1" applyNumberFormat="1" applyFont="1" applyBorder="1"/>
    <xf numFmtId="10" fontId="5" fillId="0" borderId="4" xfId="0" applyNumberFormat="1" applyFont="1" applyBorder="1"/>
    <xf numFmtId="2" fontId="5" fillId="0" borderId="4" xfId="0" applyNumberFormat="1" applyFont="1" applyBorder="1"/>
    <xf numFmtId="165" fontId="0" fillId="0" borderId="4" xfId="0" applyNumberFormat="1" applyBorder="1"/>
    <xf numFmtId="164" fontId="5" fillId="0" borderId="4" xfId="0" applyNumberFormat="1" applyFont="1" applyBorder="1"/>
    <xf numFmtId="10" fontId="0" fillId="0" borderId="4" xfId="0" applyNumberFormat="1" applyBorder="1"/>
    <xf numFmtId="44" fontId="0" fillId="2" borderId="4" xfId="0" applyNumberFormat="1" applyFill="1" applyBorder="1"/>
    <xf numFmtId="167" fontId="0" fillId="2" borderId="4" xfId="0" applyNumberFormat="1" applyFill="1" applyBorder="1"/>
    <xf numFmtId="0" fontId="6" fillId="0" borderId="0" xfId="0" applyFont="1"/>
    <xf numFmtId="170" fontId="4" fillId="2" borderId="5" xfId="0" applyNumberFormat="1" applyFont="1" applyFill="1" applyBorder="1" applyAlignment="1">
      <alignment horizontal="left" vertical="center" wrapText="1"/>
    </xf>
    <xf numFmtId="170" fontId="3" fillId="2" borderId="4" xfId="0" applyNumberFormat="1" applyFont="1" applyFill="1" applyBorder="1" applyAlignment="1">
      <alignment horizontal="right" vertical="top"/>
    </xf>
    <xf numFmtId="170" fontId="5" fillId="2" borderId="4" xfId="0" applyNumberFormat="1" applyFont="1" applyFill="1" applyBorder="1"/>
    <xf numFmtId="170" fontId="5" fillId="0" borderId="4" xfId="0" applyNumberFormat="1" applyFont="1" applyBorder="1"/>
    <xf numFmtId="170" fontId="0" fillId="2" borderId="4" xfId="0" applyNumberFormat="1" applyFill="1" applyBorder="1"/>
    <xf numFmtId="42" fontId="2" fillId="5" borderId="6" xfId="1" applyNumberFormat="1" applyFont="1" applyFill="1" applyBorder="1" applyProtection="1"/>
    <xf numFmtId="10" fontId="2" fillId="5" borderId="6" xfId="2" applyNumberFormat="1" applyFont="1" applyFill="1" applyBorder="1" applyProtection="1"/>
    <xf numFmtId="168" fontId="2" fillId="5" borderId="6" xfId="1" applyNumberFormat="1" applyFont="1" applyFill="1" applyBorder="1" applyProtection="1"/>
    <xf numFmtId="42" fontId="2" fillId="4" borderId="6" xfId="1" applyNumberFormat="1" applyFont="1" applyFill="1" applyBorder="1" applyAlignment="1" applyProtection="1">
      <alignment horizontal="right"/>
      <protection locked="0"/>
    </xf>
    <xf numFmtId="169" fontId="2" fillId="4" borderId="6" xfId="1" applyNumberFormat="1" applyFont="1" applyFill="1" applyBorder="1" applyAlignment="1" applyProtection="1">
      <alignment horizontal="right"/>
      <protection locked="0"/>
    </xf>
    <xf numFmtId="42" fontId="2" fillId="4" borderId="6" xfId="1" applyNumberFormat="1" applyFont="1" applyFill="1" applyBorder="1" applyProtection="1">
      <protection locked="0"/>
    </xf>
    <xf numFmtId="2" fontId="3" fillId="2" borderId="1" xfId="0" applyNumberFormat="1" applyFont="1" applyFill="1" applyBorder="1" applyAlignment="1">
      <alignment horizontal="left" vertical="center"/>
    </xf>
    <xf numFmtId="2" fontId="0" fillId="2" borderId="0" xfId="0" applyNumberFormat="1" applyFill="1"/>
    <xf numFmtId="0" fontId="4" fillId="2" borderId="0" xfId="0" applyFont="1" applyFill="1" applyAlignment="1">
      <alignment horizontal="left" vertical="center" wrapText="1"/>
    </xf>
    <xf numFmtId="0" fontId="3" fillId="2" borderId="0" xfId="0" applyFont="1" applyFill="1" applyAlignment="1">
      <alignment horizontal="left" vertical="center"/>
    </xf>
    <xf numFmtId="2" fontId="3" fillId="2" borderId="0" xfId="0" applyNumberFormat="1" applyFont="1" applyFill="1" applyAlignment="1">
      <alignment horizontal="left" vertical="center"/>
    </xf>
    <xf numFmtId="1" fontId="3" fillId="2" borderId="3" xfId="0" applyNumberFormat="1" applyFont="1" applyFill="1" applyBorder="1" applyAlignment="1">
      <alignment horizontal="left" vertical="center"/>
    </xf>
    <xf numFmtId="1" fontId="3" fillId="2" borderId="0" xfId="0" applyNumberFormat="1" applyFont="1" applyFill="1" applyAlignment="1">
      <alignment horizontal="left" vertical="center"/>
    </xf>
    <xf numFmtId="1" fontId="3" fillId="2" borderId="2" xfId="0" applyNumberFormat="1" applyFont="1" applyFill="1" applyBorder="1" applyAlignment="1">
      <alignment horizontal="left" vertical="center"/>
    </xf>
    <xf numFmtId="1" fontId="0" fillId="2" borderId="0" xfId="0" applyNumberFormat="1" applyFill="1"/>
    <xf numFmtId="1" fontId="0" fillId="2" borderId="2" xfId="0" applyNumberFormat="1" applyFill="1" applyBorder="1"/>
    <xf numFmtId="1" fontId="3" fillId="2" borderId="1" xfId="0" applyNumberFormat="1" applyFont="1" applyFill="1" applyBorder="1" applyAlignment="1">
      <alignment horizontal="left" vertical="center"/>
    </xf>
    <xf numFmtId="14" fontId="0" fillId="7" borderId="0" xfId="0" applyNumberFormat="1" applyFill="1"/>
    <xf numFmtId="2" fontId="0" fillId="7" borderId="0" xfId="0" applyNumberFormat="1" applyFill="1"/>
    <xf numFmtId="1" fontId="0" fillId="7" borderId="0" xfId="0" applyNumberFormat="1" applyFill="1"/>
    <xf numFmtId="1" fontId="0" fillId="7" borderId="2" xfId="0" applyNumberFormat="1" applyFill="1" applyBorder="1"/>
    <xf numFmtId="164" fontId="5" fillId="6" borderId="4" xfId="1" applyNumberFormat="1" applyFont="1" applyFill="1" applyBorder="1"/>
    <xf numFmtId="10" fontId="5" fillId="6" borderId="4" xfId="0" applyNumberFormat="1" applyFont="1" applyFill="1" applyBorder="1"/>
    <xf numFmtId="2" fontId="5" fillId="6" borderId="4" xfId="0" applyNumberFormat="1" applyFont="1" applyFill="1" applyBorder="1"/>
    <xf numFmtId="0" fontId="0" fillId="0" borderId="0" xfId="0" applyAlignment="1">
      <alignment wrapText="1"/>
    </xf>
    <xf numFmtId="0" fontId="3" fillId="0" borderId="0" xfId="0" applyFont="1" applyAlignment="1">
      <alignment wrapText="1"/>
    </xf>
    <xf numFmtId="0" fontId="0" fillId="6" borderId="0" xfId="0" applyFill="1" applyAlignment="1">
      <alignment wrapText="1"/>
    </xf>
    <xf numFmtId="0" fontId="0" fillId="8" borderId="0" xfId="0" applyFill="1" applyAlignment="1">
      <alignment wrapText="1"/>
    </xf>
    <xf numFmtId="0" fontId="0" fillId="8" borderId="0" xfId="0" applyFill="1"/>
    <xf numFmtId="42" fontId="2" fillId="0" borderId="0" xfId="1" applyNumberFormat="1" applyFont="1" applyFill="1" applyBorder="1" applyProtection="1"/>
    <xf numFmtId="42" fontId="0" fillId="0" borderId="0" xfId="0" applyNumberFormat="1" applyProtection="1">
      <protection locked="0"/>
    </xf>
    <xf numFmtId="0" fontId="3" fillId="0" borderId="0" xfId="0" applyFont="1" applyAlignment="1">
      <alignment horizontal="right"/>
    </xf>
    <xf numFmtId="0" fontId="8" fillId="3" borderId="0" xfId="0" applyFont="1" applyFill="1"/>
    <xf numFmtId="0" fontId="12" fillId="0" borderId="0" xfId="0" applyFont="1"/>
    <xf numFmtId="14" fontId="0" fillId="0" borderId="0" xfId="0" applyNumberFormat="1"/>
    <xf numFmtId="169" fontId="0" fillId="0" borderId="0" xfId="0" applyNumberFormat="1"/>
    <xf numFmtId="0" fontId="9" fillId="0" borderId="0" xfId="0" applyFont="1"/>
    <xf numFmtId="0" fontId="13" fillId="0" borderId="0" xfId="0" applyFont="1"/>
    <xf numFmtId="0" fontId="14" fillId="0" borderId="0" xfId="0" applyFont="1" applyAlignment="1">
      <alignment horizontal="right"/>
    </xf>
    <xf numFmtId="42" fontId="2" fillId="4" borderId="6" xfId="1" applyNumberFormat="1" applyFont="1" applyFill="1" applyBorder="1" applyProtection="1"/>
    <xf numFmtId="10" fontId="0" fillId="0" borderId="0" xfId="0" applyNumberFormat="1"/>
    <xf numFmtId="0" fontId="3" fillId="0" borderId="0" xfId="0" applyFont="1" applyAlignment="1">
      <alignment vertical="center"/>
    </xf>
    <xf numFmtId="0" fontId="0" fillId="0" borderId="0" xfId="0" applyAlignment="1">
      <alignment vertical="center"/>
    </xf>
    <xf numFmtId="168" fontId="2" fillId="5" borderId="6" xfId="1" applyNumberFormat="1" applyFont="1" applyFill="1" applyBorder="1" applyProtection="1">
      <protection locked="0"/>
    </xf>
    <xf numFmtId="0" fontId="2" fillId="5" borderId="7" xfId="1" applyNumberFormat="1" applyFont="1" applyFill="1" applyBorder="1" applyProtection="1"/>
    <xf numFmtId="42" fontId="8" fillId="0" borderId="0" xfId="1" applyNumberFormat="1" applyFont="1" applyProtection="1"/>
    <xf numFmtId="42" fontId="8" fillId="0" borderId="0" xfId="1" applyNumberFormat="1" applyFont="1" applyProtection="1">
      <protection locked="0"/>
    </xf>
    <xf numFmtId="0" fontId="0" fillId="0" borderId="0" xfId="0" applyProtection="1">
      <protection locked="0"/>
    </xf>
    <xf numFmtId="0" fontId="8" fillId="0" borderId="0" xfId="0" applyFont="1"/>
    <xf numFmtId="0" fontId="16" fillId="3" borderId="0" xfId="0" applyFont="1" applyFill="1"/>
    <xf numFmtId="0" fontId="17" fillId="3" borderId="0" xfId="0" applyFont="1" applyFill="1"/>
    <xf numFmtId="164" fontId="1" fillId="0" borderId="4" xfId="1" applyNumberFormat="1" applyFont="1" applyFill="1" applyBorder="1"/>
    <xf numFmtId="0" fontId="0" fillId="6" borderId="4" xfId="0" applyFill="1" applyBorder="1"/>
    <xf numFmtId="164" fontId="1" fillId="6" borderId="4" xfId="1" applyNumberFormat="1" applyFont="1" applyFill="1" applyBorder="1"/>
    <xf numFmtId="166" fontId="1" fillId="0" borderId="4" xfId="1" applyNumberFormat="1" applyFont="1" applyFill="1" applyBorder="1" applyAlignment="1">
      <alignment horizontal="right"/>
    </xf>
    <xf numFmtId="0" fontId="6" fillId="0" borderId="0" xfId="0" applyFont="1" applyAlignment="1">
      <alignment horizontal="right" vertical="center" wrapText="1"/>
    </xf>
    <xf numFmtId="0" fontId="6" fillId="0" borderId="0" xfId="0" applyFont="1" applyAlignment="1">
      <alignment vertical="center" wrapText="1"/>
    </xf>
    <xf numFmtId="0" fontId="6" fillId="0" borderId="0" xfId="0" applyFont="1" applyAlignment="1">
      <alignment wrapText="1"/>
    </xf>
    <xf numFmtId="0" fontId="15" fillId="0" borderId="0" xfId="0" applyFont="1"/>
    <xf numFmtId="0" fontId="3" fillId="0" borderId="0" xfId="0" applyFont="1" applyAlignment="1">
      <alignment horizontal="right" vertical="center"/>
    </xf>
    <xf numFmtId="0" fontId="3" fillId="0" borderId="0" xfId="0" applyFont="1" applyAlignment="1">
      <alignment horizontal="right"/>
    </xf>
    <xf numFmtId="0" fontId="0" fillId="0" borderId="0" xfId="0"/>
    <xf numFmtId="0" fontId="0" fillId="0" borderId="0" xfId="0" applyAlignment="1">
      <alignment vertical="center" wrapText="1"/>
    </xf>
    <xf numFmtId="0" fontId="0" fillId="0" borderId="0" xfId="0" applyAlignment="1">
      <alignment wrapText="1"/>
    </xf>
    <xf numFmtId="0" fontId="0" fillId="0" borderId="0" xfId="0" applyAlignment="1">
      <alignment vertical="center"/>
    </xf>
    <xf numFmtId="0" fontId="11" fillId="0" borderId="0" xfId="0" applyFont="1" applyAlignment="1">
      <alignment wrapText="1"/>
    </xf>
  </cellXfs>
  <cellStyles count="3">
    <cellStyle name="Procent" xfId="2" builtinId="5"/>
    <cellStyle name="Standaard" xfId="0" builtinId="0"/>
    <cellStyle name="Valuta" xfId="1" builtinId="4"/>
  </cellStyles>
  <dxfs count="17">
    <dxf>
      <fill>
        <patternFill>
          <bgColor rgb="FF708573"/>
        </patternFill>
      </fill>
      <border>
        <left style="thin">
          <color auto="1"/>
        </left>
        <right style="thin">
          <color auto="1"/>
        </right>
        <top style="thin">
          <color auto="1"/>
        </top>
        <bottom style="thin">
          <color auto="1"/>
        </bottom>
        <vertical/>
        <horizontal/>
      </border>
    </dxf>
    <dxf>
      <fill>
        <patternFill>
          <bgColor rgb="FF94795D"/>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rgb="FF708573"/>
        </patternFill>
      </fill>
      <border>
        <left style="thin">
          <color auto="1"/>
        </left>
        <right style="thin">
          <color auto="1"/>
        </right>
        <top style="thin">
          <color auto="1"/>
        </top>
        <bottom style="thin">
          <color auto="1"/>
        </bottom>
        <vertical/>
        <horizontal/>
      </border>
    </dxf>
    <dxf>
      <fill>
        <patternFill>
          <bgColor theme="0"/>
        </patternFill>
      </fill>
      <border>
        <left/>
        <right/>
        <top/>
        <bottom style="thin">
          <color auto="1"/>
        </bottom>
        <vertical/>
        <horizontal/>
      </border>
    </dxf>
    <dxf>
      <fill>
        <patternFill>
          <bgColor theme="0"/>
        </patternFill>
      </fill>
      <border>
        <left/>
        <right/>
        <top/>
        <bottom style="thin">
          <color auto="1"/>
        </bottom>
        <vertical/>
        <horizontal/>
      </border>
    </dxf>
    <dxf>
      <fill>
        <patternFill>
          <bgColor theme="0"/>
        </patternFill>
      </fill>
      <border>
        <left/>
        <right/>
        <top style="thin">
          <color auto="1"/>
        </top>
        <bottom/>
        <vertical/>
        <horizontal/>
      </border>
    </dxf>
    <dxf>
      <fill>
        <patternFill>
          <bgColor theme="0"/>
        </patternFill>
      </fill>
      <border>
        <left/>
        <right/>
        <top/>
        <bottom/>
        <vertical/>
        <horizontal/>
      </border>
    </dxf>
    <dxf>
      <fill>
        <patternFill patternType="none">
          <bgColor auto="1"/>
        </patternFill>
      </fill>
      <border>
        <left/>
        <right/>
        <top/>
        <bottom/>
      </border>
    </dxf>
    <dxf>
      <fill>
        <patternFill>
          <bgColor rgb="FF708573"/>
        </patternFill>
      </fill>
      <border>
        <left style="thin">
          <color auto="1"/>
        </left>
        <right style="thin">
          <color auto="1"/>
        </right>
        <top style="thin">
          <color auto="1"/>
        </top>
        <bottom style="thin">
          <color auto="1"/>
        </bottom>
        <vertical/>
        <horizontal/>
      </border>
    </dxf>
    <dxf>
      <fill>
        <patternFill>
          <bgColor rgb="FF94795D"/>
        </patternFill>
      </fill>
      <border>
        <left style="thin">
          <color auto="1"/>
        </left>
        <right style="thin">
          <color auto="1"/>
        </right>
        <top style="thin">
          <color auto="1"/>
        </top>
        <bottom style="thin">
          <color auto="1"/>
        </bottom>
        <vertical/>
        <horizontal/>
      </border>
    </dxf>
    <dxf>
      <fill>
        <patternFill>
          <bgColor rgb="FF708573"/>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0"/>
        </patternFill>
      </fill>
      <border>
        <left/>
        <right/>
        <top/>
        <bottom style="thin">
          <color auto="1"/>
        </bottom>
        <vertical/>
        <horizontal/>
      </border>
    </dxf>
    <dxf>
      <fill>
        <patternFill>
          <bgColor theme="0"/>
        </patternFill>
      </fill>
      <border>
        <left/>
        <right/>
        <top/>
        <bottom style="thin">
          <color auto="1"/>
        </bottom>
        <vertical/>
        <horizontal/>
      </border>
    </dxf>
    <dxf>
      <fill>
        <patternFill>
          <bgColor theme="0"/>
        </patternFill>
      </fill>
      <border>
        <left/>
        <right/>
        <top style="thin">
          <color auto="1"/>
        </top>
        <bottom/>
        <vertical/>
        <horizontal/>
      </border>
    </dxf>
    <dxf>
      <fill>
        <patternFill>
          <bgColor theme="0"/>
        </patternFill>
      </fill>
      <border>
        <left/>
        <right/>
        <top/>
        <bottom/>
        <vertical/>
        <horizontal/>
      </border>
    </dxf>
  </dxfs>
  <tableStyles count="0" defaultTableStyle="TableStyleMedium2" defaultPivotStyle="PivotStyleLight16"/>
  <colors>
    <mruColors>
      <color rgb="FF708573"/>
      <color rgb="FF94795D"/>
      <color rgb="FF98775E"/>
      <color rgb="FFAF272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274544</xdr:colOff>
      <xdr:row>0</xdr:row>
      <xdr:rowOff>47624</xdr:rowOff>
    </xdr:from>
    <xdr:to>
      <xdr:col>1</xdr:col>
      <xdr:colOff>310739</xdr:colOff>
      <xdr:row>0</xdr:row>
      <xdr:rowOff>990599</xdr:rowOff>
    </xdr:to>
    <xdr:pic>
      <xdr:nvPicPr>
        <xdr:cNvPr id="3" name="Afbeelding 2" descr="NNEK">
          <a:extLst>
            <a:ext uri="{FF2B5EF4-FFF2-40B4-BE49-F238E27FC236}">
              <a16:creationId xmlns:a16="http://schemas.microsoft.com/office/drawing/2014/main" id="{C0880B5F-0C6C-6A82-C2AC-AFCB98DF18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544" y="47624"/>
          <a:ext cx="2389430" cy="942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01C4E-7043-40A0-8008-7C1A30E566DA}">
  <dimension ref="A1:O64"/>
  <sheetViews>
    <sheetView showGridLines="0" showRowColHeaders="0" tabSelected="1" zoomScale="85" zoomScaleNormal="85" workbookViewId="0">
      <selection activeCell="B18" sqref="B18"/>
    </sheetView>
  </sheetViews>
  <sheetFormatPr defaultRowHeight="14.4" x14ac:dyDescent="0.3"/>
  <cols>
    <col min="1" max="1" width="35.33203125" customWidth="1"/>
    <col min="2" max="2" width="28.109375" customWidth="1"/>
    <col min="3" max="3" width="6.33203125" customWidth="1"/>
    <col min="4" max="12" width="14.6640625" customWidth="1"/>
    <col min="13" max="13" width="14.88671875" customWidth="1"/>
  </cols>
  <sheetData>
    <row r="1" spans="1:13" ht="83.25" customHeight="1" x14ac:dyDescent="0.3">
      <c r="L1" s="100" t="str" cm="1">
        <f t="array" aca="1" ref="L1" ca="1">REPLACE(LEFT(CELL("bestandsnaam",A1),SEARCH("]",CELL("bestandsnaam",A1))-6),1,SEARCH("[",CELL("bestandsnaam",A1)),"")</f>
        <v>NNEK Jaarruimte 2026.1</v>
      </c>
      <c r="M1" s="101"/>
    </row>
    <row r="2" spans="1:13" s="89" customFormat="1" ht="31.5" customHeight="1" x14ac:dyDescent="0.6">
      <c r="A2" s="90" t="s">
        <v>20</v>
      </c>
      <c r="B2" s="91"/>
      <c r="C2" s="91"/>
      <c r="D2" s="90">
        <v>2026</v>
      </c>
      <c r="E2" s="73"/>
      <c r="F2" s="73"/>
      <c r="G2" s="73"/>
      <c r="H2" s="73"/>
      <c r="I2" s="73"/>
      <c r="J2" s="73"/>
      <c r="K2" s="73"/>
      <c r="L2" s="73"/>
      <c r="M2" s="73"/>
    </row>
    <row r="3" spans="1:13" x14ac:dyDescent="0.3">
      <c r="B3" s="72"/>
      <c r="D3" s="1"/>
    </row>
    <row r="4" spans="1:13" ht="18" x14ac:dyDescent="0.35">
      <c r="A4" s="74" t="s">
        <v>25</v>
      </c>
      <c r="B4" s="72"/>
      <c r="D4" s="1"/>
    </row>
    <row r="5" spans="1:13" x14ac:dyDescent="0.3">
      <c r="A5" s="1" t="s">
        <v>9</v>
      </c>
      <c r="B5" s="44" t="s">
        <v>49</v>
      </c>
      <c r="D5" s="1"/>
    </row>
    <row r="6" spans="1:13" x14ac:dyDescent="0.3">
      <c r="A6" s="1" t="s">
        <v>10</v>
      </c>
      <c r="B6" s="45">
        <v>29007</v>
      </c>
      <c r="D6" s="1"/>
    </row>
    <row r="7" spans="1:13" hidden="1" x14ac:dyDescent="0.3">
      <c r="A7" s="1" t="str">
        <f>CONCATENATE("Leeftijd op 1 januari ",rekenjaar)</f>
        <v>Leeftijd op 1 januari 2026</v>
      </c>
      <c r="B7" s="84">
        <f>rekenjaar-YEAR(B6)-((MONTH(B6)-1)/12)</f>
        <v>46.583333333333336</v>
      </c>
      <c r="D7" t="s">
        <v>47</v>
      </c>
      <c r="E7" s="1">
        <f>VLOOKUP(B6,Variabelen!Q:U,3)</f>
        <v>68.5</v>
      </c>
      <c r="F7" t="s">
        <v>48</v>
      </c>
      <c r="G7" t="str">
        <f>IF(B7&gt;E7+5,"ja","nee")</f>
        <v>nee</v>
      </c>
      <c r="H7" s="75">
        <f>DATE(YEAR(B6)+VLOOKUP(B6,Variabelen!Q:U,4),MONTH(B6)+VLOOKUP(B6,Variabelen!Q:U,5),DAY(B6))</f>
        <v>54027</v>
      </c>
      <c r="I7" s="76"/>
    </row>
    <row r="8" spans="1:13" x14ac:dyDescent="0.3">
      <c r="A8" s="1" t="s">
        <v>26</v>
      </c>
      <c r="B8" s="45" t="s">
        <v>27</v>
      </c>
      <c r="D8" s="1"/>
    </row>
    <row r="9" spans="1:13" x14ac:dyDescent="0.3">
      <c r="A9" s="1" t="s">
        <v>56</v>
      </c>
      <c r="B9" s="45" t="s">
        <v>27</v>
      </c>
      <c r="D9" s="1"/>
    </row>
    <row r="10" spans="1:13" x14ac:dyDescent="0.3">
      <c r="A10" s="99" t="str">
        <f>IF(AOW_5="ja","U kunt geen gebruik maken van deze rekentool. Lijfrenteaftrek is toegestaan tot maximaal 5 jaar na AOW-leeftijd.","")</f>
        <v/>
      </c>
      <c r="B10" s="99"/>
      <c r="C10" s="99"/>
      <c r="D10" s="99"/>
      <c r="E10" s="99"/>
      <c r="F10" s="99"/>
      <c r="G10" s="99"/>
      <c r="H10" s="99"/>
      <c r="I10" s="99"/>
      <c r="J10" s="99"/>
      <c r="K10" s="99"/>
      <c r="L10" s="99"/>
      <c r="M10" s="99"/>
    </row>
    <row r="11" spans="1:13" x14ac:dyDescent="0.3">
      <c r="B11" s="72" t="str">
        <f>CONCATENATE("JAARRUIMTE ",rekenjaar)</f>
        <v>JAARRUIMTE 2026</v>
      </c>
      <c r="D11" s="1" t="str">
        <f>CONCATENATE("RESERVERINGSRUIMTE ",rekenjaar-10," t/m ",rekenjaar-1)</f>
        <v>RESERVERINGSRUIMTE 2016 t/m 2025</v>
      </c>
    </row>
    <row r="12" spans="1:13" x14ac:dyDescent="0.3">
      <c r="A12" s="96" t="str">
        <f>CONCATENATE("Voor de berekening van de jaarruimte van ",rekenjaar," maak je gebruik van de financiële gegevens van ",rekenjaar-1,".")</f>
        <v>Voor de berekening van de jaarruimte van 2026 maak je gebruik van de financiële gegevens van 2025.</v>
      </c>
      <c r="B12" s="96"/>
      <c r="D12" s="97" t="str">
        <f>CONCATENATE("Heb je niet alle jaarruimte van voorgaande jaren benut? Dan heb je reserveringsruimte. Ook deze bedragen mag je inzetten bij je lijfrenteaftrek. Daarbij geldt dat je het eerst de reseveringsruimte van ",rekenjaar-10," benut. Voor de berekening van het betreffende jaar gebruik je de financiële gegevens van het jaar ervoor. Dus voor de berekening over ",rekenjaar-1," gebruik je de gegevens uit ",rekenjaar-2," etc.")</f>
        <v>Heb je niet alle jaarruimte van voorgaande jaren benut? Dan heb je reserveringsruimte. Ook deze bedragen mag je inzetten bij je lijfrenteaftrek. Daarbij geldt dat je het eerst de reseveringsruimte van 2016 benut. Voor de berekening van het betreffende jaar gebruik je de financiële gegevens van het jaar ervoor. Dus voor de berekening over 2025 gebruik je de gegevens uit 2024 etc.</v>
      </c>
      <c r="E12" s="97"/>
      <c r="F12" s="97"/>
      <c r="G12" s="97"/>
      <c r="H12" s="97"/>
      <c r="I12" s="97"/>
      <c r="J12" s="97"/>
      <c r="K12" s="97"/>
      <c r="L12" s="97"/>
      <c r="M12" s="97"/>
    </row>
    <row r="13" spans="1:13" x14ac:dyDescent="0.3">
      <c r="A13" s="96"/>
      <c r="B13" s="96"/>
      <c r="D13" s="97"/>
      <c r="E13" s="97"/>
      <c r="F13" s="97"/>
      <c r="G13" s="97"/>
      <c r="H13" s="97"/>
      <c r="I13" s="97"/>
      <c r="J13" s="97"/>
      <c r="K13" s="97"/>
      <c r="L13" s="97"/>
      <c r="M13" s="97"/>
    </row>
    <row r="14" spans="1:13" x14ac:dyDescent="0.3">
      <c r="A14" s="96"/>
      <c r="B14" s="96"/>
      <c r="D14" s="97"/>
      <c r="E14" s="97"/>
      <c r="F14" s="97"/>
      <c r="G14" s="97"/>
      <c r="H14" s="97"/>
      <c r="I14" s="97"/>
      <c r="J14" s="97"/>
      <c r="K14" s="97"/>
      <c r="L14" s="97"/>
      <c r="M14" s="97"/>
    </row>
    <row r="15" spans="1:13" x14ac:dyDescent="0.3">
      <c r="A15" s="96"/>
      <c r="B15" s="96"/>
      <c r="D15" s="97"/>
      <c r="E15" s="97"/>
      <c r="F15" s="97"/>
      <c r="G15" s="97"/>
      <c r="H15" s="97"/>
      <c r="I15" s="97"/>
      <c r="J15" s="97"/>
      <c r="K15" s="97"/>
      <c r="L15" s="97"/>
      <c r="M15" s="97"/>
    </row>
    <row r="16" spans="1:13" ht="18" x14ac:dyDescent="0.35">
      <c r="D16" s="77">
        <f>rekenjaar-1</f>
        <v>2025</v>
      </c>
      <c r="E16" s="77">
        <f>rekenjaar-2</f>
        <v>2024</v>
      </c>
      <c r="F16" s="77">
        <f>rekenjaar-3</f>
        <v>2023</v>
      </c>
      <c r="G16" s="77">
        <f>rekenjaar-4</f>
        <v>2022</v>
      </c>
      <c r="H16" s="77">
        <f>rekenjaar-5</f>
        <v>2021</v>
      </c>
      <c r="I16" s="77">
        <f>rekenjaar-6</f>
        <v>2020</v>
      </c>
      <c r="J16" s="77">
        <f>rekenjaar-7</f>
        <v>2019</v>
      </c>
      <c r="K16" s="77">
        <f>rekenjaar-8</f>
        <v>2018</v>
      </c>
      <c r="L16" s="77">
        <f>rekenjaar-9</f>
        <v>2017</v>
      </c>
      <c r="M16" s="77">
        <f>rekenjaar-10</f>
        <v>2016</v>
      </c>
    </row>
    <row r="17" spans="1:15" s="78" customFormat="1" ht="13.8" x14ac:dyDescent="0.3">
      <c r="B17" s="79" t="str">
        <f>CONCATENATE("gegevens ",rekenjaar-1)</f>
        <v>gegevens 2025</v>
      </c>
      <c r="D17" s="79" t="str">
        <f>CONCATENATE("gegevens ",rekenjaar-2)</f>
        <v>gegevens 2024</v>
      </c>
      <c r="E17" s="79" t="str">
        <f>CONCATENATE("gegevens ",rekenjaar-3)</f>
        <v>gegevens 2023</v>
      </c>
      <c r="F17" s="79" t="str">
        <f>CONCATENATE("gegevens ",rekenjaar-4)</f>
        <v>gegevens 2022</v>
      </c>
      <c r="G17" s="79" t="str">
        <f>CONCATENATE("gegevens ",rekenjaar-5)</f>
        <v>gegevens 2021</v>
      </c>
      <c r="H17" s="79" t="str">
        <f>CONCATENATE("gegevens ",rekenjaar-6)</f>
        <v>gegevens 2020</v>
      </c>
      <c r="I17" s="79" t="str">
        <f>CONCATENATE("gegevens ",rekenjaar-7)</f>
        <v>gegevens 2019</v>
      </c>
      <c r="J17" s="79" t="str">
        <f>CONCATENATE("gegevens ",rekenjaar-8)</f>
        <v>gegevens 2018</v>
      </c>
      <c r="K17" s="79" t="str">
        <f>CONCATENATE("gegevens ",rekenjaar-9)</f>
        <v>gegevens 2017</v>
      </c>
      <c r="L17" s="79" t="str">
        <f>CONCATENATE("gegevens ",rekenjaar-10)</f>
        <v>gegevens 2016</v>
      </c>
      <c r="M17" s="79" t="str">
        <f>CONCATENATE("gegevens ",rekenjaar-11)</f>
        <v>gegevens 2015</v>
      </c>
    </row>
    <row r="18" spans="1:15" x14ac:dyDescent="0.3">
      <c r="A18" s="1" t="s">
        <v>57</v>
      </c>
      <c r="B18" s="46"/>
      <c r="C18" s="71"/>
      <c r="D18" s="46"/>
      <c r="E18" s="46"/>
      <c r="F18" s="46"/>
      <c r="G18" s="46"/>
      <c r="H18" s="46"/>
      <c r="I18" s="46"/>
      <c r="J18" s="46"/>
      <c r="K18" s="46"/>
      <c r="L18" s="46"/>
      <c r="M18" s="46"/>
    </row>
    <row r="19" spans="1:15" x14ac:dyDescent="0.3">
      <c r="A19" s="1" t="str">
        <f>IF(ondernemer="nee","","Winst/verlies vóór ondernemersaftrek")</f>
        <v>Winst/verlies vóór ondernemersaftrek</v>
      </c>
      <c r="B19" s="46"/>
      <c r="C19" s="71"/>
      <c r="D19" s="46"/>
      <c r="E19" s="46"/>
      <c r="F19" s="46"/>
      <c r="G19" s="46"/>
      <c r="H19" s="46"/>
      <c r="I19" s="46"/>
      <c r="J19" s="46"/>
      <c r="K19" s="46"/>
      <c r="L19" s="46"/>
      <c r="M19" s="46"/>
    </row>
    <row r="20" spans="1:15" x14ac:dyDescent="0.3">
      <c r="A20" s="1" t="str">
        <f>IF(ondernemer="nee","","Toe-/ afname FOR ")</f>
        <v xml:space="preserve">Toe-/ afname FOR </v>
      </c>
      <c r="B20" s="46"/>
      <c r="C20" s="71"/>
      <c r="D20" s="46"/>
      <c r="E20" s="46"/>
      <c r="F20" s="46"/>
      <c r="G20" s="46"/>
      <c r="H20" s="46"/>
      <c r="I20" s="46"/>
      <c r="J20" s="46"/>
      <c r="K20" s="46"/>
      <c r="L20" s="46"/>
      <c r="M20" s="46"/>
    </row>
    <row r="21" spans="1:15" x14ac:dyDescent="0.3">
      <c r="A21" s="1" t="s">
        <v>66</v>
      </c>
      <c r="B21" s="46"/>
      <c r="C21" s="71"/>
      <c r="D21" s="46"/>
      <c r="E21" s="46"/>
      <c r="F21" s="46"/>
      <c r="G21" s="46"/>
      <c r="H21" s="46"/>
      <c r="I21" s="46"/>
      <c r="J21" s="46"/>
      <c r="K21" s="46"/>
      <c r="L21" s="46"/>
      <c r="M21" s="46"/>
    </row>
    <row r="22" spans="1:15" hidden="1" x14ac:dyDescent="0.3">
      <c r="A22" s="1" t="s">
        <v>75</v>
      </c>
      <c r="B22" s="41">
        <f>B18+B19+B21</f>
        <v>0</v>
      </c>
      <c r="C22" s="2"/>
      <c r="D22" s="41">
        <f t="shared" ref="D22:M22" si="0">D18+D19+D21</f>
        <v>0</v>
      </c>
      <c r="E22" s="41">
        <f t="shared" si="0"/>
        <v>0</v>
      </c>
      <c r="F22" s="41">
        <f t="shared" si="0"/>
        <v>0</v>
      </c>
      <c r="G22" s="41">
        <f t="shared" si="0"/>
        <v>0</v>
      </c>
      <c r="H22" s="41">
        <f t="shared" si="0"/>
        <v>0</v>
      </c>
      <c r="I22" s="41">
        <f t="shared" si="0"/>
        <v>0</v>
      </c>
      <c r="J22" s="41">
        <f t="shared" si="0"/>
        <v>0</v>
      </c>
      <c r="K22" s="41">
        <f t="shared" si="0"/>
        <v>0</v>
      </c>
      <c r="L22" s="41">
        <f t="shared" si="0"/>
        <v>0</v>
      </c>
      <c r="M22" s="41">
        <f t="shared" si="0"/>
        <v>0</v>
      </c>
      <c r="O22" t="s">
        <v>79</v>
      </c>
    </row>
    <row r="23" spans="1:15" hidden="1" x14ac:dyDescent="0.3">
      <c r="A23" s="1" t="s">
        <v>78</v>
      </c>
      <c r="B23" s="41" t="str">
        <f>IF(B22&gt;_xlfn.XLOOKUP( rekenjaar,jaar,maxsalaris,,),"ja","nee")</f>
        <v>nee</v>
      </c>
      <c r="C23" s="2"/>
      <c r="D23" s="41" t="str">
        <f t="shared" ref="D23:M23" si="1">IF(D22&gt;_xlfn.XLOOKUP(D16,jaar,maxsalaris,,),"ja","nee")</f>
        <v>nee</v>
      </c>
      <c r="E23" s="41" t="str">
        <f t="shared" si="1"/>
        <v>nee</v>
      </c>
      <c r="F23" s="41" t="str">
        <f t="shared" si="1"/>
        <v>nee</v>
      </c>
      <c r="G23" s="41" t="str">
        <f t="shared" si="1"/>
        <v>nee</v>
      </c>
      <c r="H23" s="41" t="str">
        <f t="shared" si="1"/>
        <v>nee</v>
      </c>
      <c r="I23" s="41" t="str">
        <f t="shared" si="1"/>
        <v>nee</v>
      </c>
      <c r="J23" s="41" t="str">
        <f t="shared" si="1"/>
        <v>nee</v>
      </c>
      <c r="K23" s="41" t="str">
        <f t="shared" si="1"/>
        <v>nee</v>
      </c>
      <c r="L23" s="41" t="str">
        <f t="shared" si="1"/>
        <v>nee</v>
      </c>
      <c r="M23" s="41" t="str">
        <f t="shared" si="1"/>
        <v>nee</v>
      </c>
      <c r="N23" s="85">
        <f>COUNTIF(B23:M23,"ja")</f>
        <v>0</v>
      </c>
      <c r="O23" t="s">
        <v>79</v>
      </c>
    </row>
    <row r="24" spans="1:15" x14ac:dyDescent="0.3">
      <c r="A24" s="1" t="s">
        <v>28</v>
      </c>
      <c r="B24" s="46"/>
      <c r="C24" s="2"/>
      <c r="D24" s="46"/>
      <c r="E24" s="46"/>
      <c r="F24" s="46"/>
      <c r="G24" s="46"/>
      <c r="H24" s="46"/>
      <c r="I24" s="46"/>
      <c r="J24" s="46"/>
      <c r="K24" s="46"/>
      <c r="L24" s="46"/>
      <c r="M24" s="46"/>
    </row>
    <row r="25" spans="1:15" x14ac:dyDescent="0.3">
      <c r="A25" s="1" t="s">
        <v>63</v>
      </c>
      <c r="B25" s="46"/>
    </row>
    <row r="26" spans="1:15" x14ac:dyDescent="0.3">
      <c r="A26" s="1" t="s">
        <v>64</v>
      </c>
      <c r="B26" s="46"/>
    </row>
    <row r="27" spans="1:15" x14ac:dyDescent="0.3">
      <c r="A27" s="1" t="str">
        <f>IF($B$22&gt;_xlfn.XLOOKUP(rekenjaar,jaar,maxsalaris,,),"Premie netto pensioen","")</f>
        <v/>
      </c>
      <c r="B27" s="46"/>
      <c r="D27" s="46"/>
      <c r="E27" s="46"/>
      <c r="F27" s="46"/>
      <c r="G27" s="46"/>
      <c r="H27" s="46"/>
      <c r="I27" s="46"/>
      <c r="J27" s="46"/>
      <c r="K27" s="46"/>
      <c r="L27" s="46"/>
      <c r="M27" s="46"/>
    </row>
    <row r="29" spans="1:15" x14ac:dyDescent="0.3">
      <c r="B29" s="72" t="str">
        <f>CONCATENATE("VARIABELEN ",rekenjaar)</f>
        <v>VARIABELEN 2026</v>
      </c>
      <c r="D29" s="1">
        <f t="shared" ref="D29:M29" si="2">D16</f>
        <v>2025</v>
      </c>
      <c r="E29" s="1">
        <f t="shared" si="2"/>
        <v>2024</v>
      </c>
      <c r="F29" s="1">
        <f t="shared" si="2"/>
        <v>2023</v>
      </c>
      <c r="G29" s="1">
        <f t="shared" si="2"/>
        <v>2022</v>
      </c>
      <c r="H29" s="1">
        <f t="shared" si="2"/>
        <v>2021</v>
      </c>
      <c r="I29" s="1">
        <f t="shared" si="2"/>
        <v>2020</v>
      </c>
      <c r="J29" s="1">
        <f t="shared" si="2"/>
        <v>2019</v>
      </c>
      <c r="K29" s="1">
        <f t="shared" si="2"/>
        <v>2018</v>
      </c>
      <c r="L29" s="1">
        <f t="shared" si="2"/>
        <v>2017</v>
      </c>
      <c r="M29" s="1">
        <f t="shared" si="2"/>
        <v>2016</v>
      </c>
    </row>
    <row r="30" spans="1:15" x14ac:dyDescent="0.3">
      <c r="A30" s="1" t="s">
        <v>0</v>
      </c>
      <c r="B30" s="41">
        <f>_xlfn.XLOOKUP(rekenjaar,jaar,franchise,,)</f>
        <v>19172</v>
      </c>
      <c r="C30" s="2"/>
      <c r="D30" s="41">
        <f t="shared" ref="D30:M30" si="3">_xlfn.XLOOKUP(D$16,jaar,franchise)</f>
        <v>18475</v>
      </c>
      <c r="E30" s="41">
        <f t="shared" si="3"/>
        <v>17545</v>
      </c>
      <c r="F30" s="41">
        <f t="shared" si="3"/>
        <v>13646</v>
      </c>
      <c r="G30" s="41">
        <f t="shared" si="3"/>
        <v>12837</v>
      </c>
      <c r="H30" s="41">
        <f t="shared" si="3"/>
        <v>12672</v>
      </c>
      <c r="I30" s="41">
        <f t="shared" si="3"/>
        <v>12472</v>
      </c>
      <c r="J30" s="41">
        <f t="shared" si="3"/>
        <v>12275</v>
      </c>
      <c r="K30" s="41">
        <f t="shared" si="3"/>
        <v>12129</v>
      </c>
      <c r="L30" s="41">
        <f t="shared" si="3"/>
        <v>12032</v>
      </c>
      <c r="M30" s="41">
        <f t="shared" si="3"/>
        <v>11996</v>
      </c>
    </row>
    <row r="31" spans="1:15" x14ac:dyDescent="0.3">
      <c r="A31" s="1" t="s">
        <v>13</v>
      </c>
      <c r="B31" s="41">
        <f>MAX(0,MIN($B$33,$B$22-$B$30))</f>
        <v>0</v>
      </c>
      <c r="D31" s="41">
        <f>MAX(0,MIN(D33,D22-D30))</f>
        <v>0</v>
      </c>
      <c r="E31" s="41">
        <f>MAX(0,MIN(E33,E22-E30))</f>
        <v>0</v>
      </c>
      <c r="F31" s="41">
        <f t="shared" ref="F31:M31" si="4">MAX(0,MIN(F33,F22-F30))</f>
        <v>0</v>
      </c>
      <c r="G31" s="41">
        <f t="shared" si="4"/>
        <v>0</v>
      </c>
      <c r="H31" s="41">
        <f t="shared" si="4"/>
        <v>0</v>
      </c>
      <c r="I31" s="41">
        <f t="shared" si="4"/>
        <v>0</v>
      </c>
      <c r="J31" s="41">
        <f t="shared" si="4"/>
        <v>0</v>
      </c>
      <c r="K31" s="41">
        <f t="shared" si="4"/>
        <v>0</v>
      </c>
      <c r="L31" s="41">
        <f t="shared" si="4"/>
        <v>0</v>
      </c>
      <c r="M31" s="41">
        <f t="shared" si="4"/>
        <v>0</v>
      </c>
    </row>
    <row r="32" spans="1:15" x14ac:dyDescent="0.3">
      <c r="A32" s="1" t="s">
        <v>12</v>
      </c>
      <c r="B32" s="42">
        <f>_xlfn.XLOOKUP(rekenjaar,jaar,percentage,,)</f>
        <v>0.3</v>
      </c>
      <c r="D32" s="42">
        <f t="shared" ref="D32:M32" si="5">_xlfn.XLOOKUP(D$16,jaar,percentage,,)</f>
        <v>0.3</v>
      </c>
      <c r="E32" s="42">
        <f t="shared" si="5"/>
        <v>0.3</v>
      </c>
      <c r="F32" s="42">
        <f t="shared" si="5"/>
        <v>0.3</v>
      </c>
      <c r="G32" s="42">
        <f t="shared" si="5"/>
        <v>0.13300000000000001</v>
      </c>
      <c r="H32" s="42">
        <f t="shared" si="5"/>
        <v>0.13300000000000001</v>
      </c>
      <c r="I32" s="42">
        <f t="shared" si="5"/>
        <v>0.13300000000000001</v>
      </c>
      <c r="J32" s="42">
        <f t="shared" si="5"/>
        <v>0.13300000000000001</v>
      </c>
      <c r="K32" s="42">
        <f t="shared" si="5"/>
        <v>0.13300000000000001</v>
      </c>
      <c r="L32" s="42">
        <f t="shared" si="5"/>
        <v>0.13800000000000001</v>
      </c>
      <c r="M32" s="42">
        <f t="shared" si="5"/>
        <v>0.13800000000000001</v>
      </c>
    </row>
    <row r="33" spans="1:13" x14ac:dyDescent="0.3">
      <c r="A33" s="1" t="s">
        <v>11</v>
      </c>
      <c r="B33" s="41">
        <f>_xlfn.XLOOKUP(rekenjaar,jaar,maxPG,,)</f>
        <v>118628</v>
      </c>
      <c r="D33" s="41">
        <f t="shared" ref="D33:M33" si="6">_xlfn.XLOOKUP(D$16,jaar,maxPG,,)</f>
        <v>119325</v>
      </c>
      <c r="E33" s="41">
        <f t="shared" si="6"/>
        <v>120255</v>
      </c>
      <c r="F33" s="41">
        <f t="shared" si="6"/>
        <v>115164</v>
      </c>
      <c r="G33" s="41">
        <f t="shared" si="6"/>
        <v>102029</v>
      </c>
      <c r="H33" s="41">
        <f t="shared" si="6"/>
        <v>99517</v>
      </c>
      <c r="I33" s="41">
        <f t="shared" si="6"/>
        <v>97639</v>
      </c>
      <c r="J33" s="41">
        <f t="shared" si="6"/>
        <v>95318</v>
      </c>
      <c r="K33" s="41">
        <f t="shared" si="6"/>
        <v>92946</v>
      </c>
      <c r="L33" s="41">
        <f t="shared" si="6"/>
        <v>91285</v>
      </c>
      <c r="M33" s="41">
        <f t="shared" si="6"/>
        <v>89523</v>
      </c>
    </row>
    <row r="34" spans="1:13" x14ac:dyDescent="0.3">
      <c r="A34" s="1" t="s">
        <v>65</v>
      </c>
      <c r="B34" s="43">
        <f>_xlfn.XLOOKUP(rekenjaar,jaar,factorA,,)</f>
        <v>6.27</v>
      </c>
      <c r="D34" s="43">
        <f t="shared" ref="D34:M34" si="7">_xlfn.XLOOKUP(D$16,jaar,factorA,,)</f>
        <v>6.27</v>
      </c>
      <c r="E34" s="43">
        <f t="shared" si="7"/>
        <v>6.27</v>
      </c>
      <c r="F34" s="43">
        <f t="shared" si="7"/>
        <v>6.27</v>
      </c>
      <c r="G34" s="43">
        <f t="shared" si="7"/>
        <v>6.27</v>
      </c>
      <c r="H34" s="43">
        <f t="shared" si="7"/>
        <v>6.27</v>
      </c>
      <c r="I34" s="43">
        <f t="shared" si="7"/>
        <v>6.27</v>
      </c>
      <c r="J34" s="43">
        <f t="shared" si="7"/>
        <v>6.27</v>
      </c>
      <c r="K34" s="43">
        <f t="shared" si="7"/>
        <v>6.27</v>
      </c>
      <c r="L34" s="43">
        <f t="shared" si="7"/>
        <v>6.5</v>
      </c>
      <c r="M34" s="43">
        <f t="shared" si="7"/>
        <v>6.5</v>
      </c>
    </row>
    <row r="35" spans="1:13" x14ac:dyDescent="0.3">
      <c r="A35" s="1" t="s">
        <v>16</v>
      </c>
      <c r="B35" s="41">
        <f>_xlfn.XLOOKUP(rekenjaar,jaar,MaxReservering,,)</f>
        <v>42753</v>
      </c>
      <c r="C35" s="81"/>
    </row>
    <row r="36" spans="1:13" x14ac:dyDescent="0.3">
      <c r="A36" s="1"/>
    </row>
    <row r="37" spans="1:13" x14ac:dyDescent="0.3">
      <c r="A37" s="1" t="s">
        <v>2</v>
      </c>
      <c r="B37" s="41">
        <f>IF(AOW_5="ja",0,IF(SUM(B18+B19)=0,0,ROUNDUP(MAX(0,B32*B31-(IF(loondienst="ja",B24,0)*B34)-IF(B27="",0,B27/0.505)-B20-B25-B26),0)))</f>
        <v>0</v>
      </c>
      <c r="C37" s="2"/>
      <c r="D37" s="41">
        <f t="shared" ref="D37:M37" si="8">IF(AOW_5="ja",0,IF(SUM(D$18+D$19)=0,0,ROUNDUP(MAX(0,_xlfn.XLOOKUP(D$16,jaar,percentage,,)*D$31-(IF(loondienst="ja",D$24,0)*_xlfn.XLOOKUP(D$16,jaar,factorA,,))-IF(D$27="",0,D$27/_xlfn.XLOOKUP(D$16,jaar,FactorNetto,,))-D$20),0)))</f>
        <v>0</v>
      </c>
      <c r="E37" s="41">
        <f t="shared" si="8"/>
        <v>0</v>
      </c>
      <c r="F37" s="41">
        <f t="shared" si="8"/>
        <v>0</v>
      </c>
      <c r="G37" s="41">
        <f t="shared" si="8"/>
        <v>0</v>
      </c>
      <c r="H37" s="41">
        <f t="shared" si="8"/>
        <v>0</v>
      </c>
      <c r="I37" s="41">
        <f t="shared" si="8"/>
        <v>0</v>
      </c>
      <c r="J37" s="41">
        <f t="shared" si="8"/>
        <v>0</v>
      </c>
      <c r="K37" s="41">
        <f t="shared" si="8"/>
        <v>0</v>
      </c>
      <c r="L37" s="41">
        <f t="shared" si="8"/>
        <v>0</v>
      </c>
      <c r="M37" s="41">
        <f t="shared" si="8"/>
        <v>0</v>
      </c>
    </row>
    <row r="38" spans="1:13" x14ac:dyDescent="0.3">
      <c r="A38" s="1" t="s">
        <v>14</v>
      </c>
      <c r="B38" s="46">
        <v>0</v>
      </c>
      <c r="C38" s="71"/>
      <c r="D38" s="46"/>
      <c r="E38" s="46"/>
      <c r="F38" s="46"/>
      <c r="G38" s="46"/>
      <c r="H38" s="46"/>
      <c r="I38" s="46"/>
      <c r="J38" s="46"/>
      <c r="K38" s="46">
        <v>0</v>
      </c>
      <c r="L38" s="46">
        <v>0</v>
      </c>
      <c r="M38" s="46">
        <v>0</v>
      </c>
    </row>
    <row r="39" spans="1:13" x14ac:dyDescent="0.3">
      <c r="A39" s="1" t="s">
        <v>15</v>
      </c>
      <c r="B39" s="41">
        <f>IF(AOW_5="ja",0,B37-B38)</f>
        <v>0</v>
      </c>
      <c r="C39" s="2"/>
      <c r="D39" s="41">
        <f t="shared" ref="D39:M39" si="9">IF(AOW_5="ja",0,D$37-D$38)</f>
        <v>0</v>
      </c>
      <c r="E39" s="41">
        <f t="shared" si="9"/>
        <v>0</v>
      </c>
      <c r="F39" s="41">
        <f t="shared" si="9"/>
        <v>0</v>
      </c>
      <c r="G39" s="41">
        <f t="shared" si="9"/>
        <v>0</v>
      </c>
      <c r="H39" s="41">
        <f t="shared" si="9"/>
        <v>0</v>
      </c>
      <c r="I39" s="41">
        <f t="shared" si="9"/>
        <v>0</v>
      </c>
      <c r="J39" s="41">
        <f t="shared" si="9"/>
        <v>0</v>
      </c>
      <c r="K39" s="41">
        <f t="shared" si="9"/>
        <v>0</v>
      </c>
      <c r="L39" s="41">
        <f t="shared" si="9"/>
        <v>0</v>
      </c>
      <c r="M39" s="41">
        <f t="shared" si="9"/>
        <v>0</v>
      </c>
    </row>
    <row r="40" spans="1:13" x14ac:dyDescent="0.3">
      <c r="A40" s="1" t="s">
        <v>21</v>
      </c>
      <c r="B40" s="41">
        <f>MIN(_xlfn.XLOOKUP(rekenjaar,jaar,MaxReservering,,),SUM(Rekenblad!$D$39:$M$39))</f>
        <v>0</v>
      </c>
    </row>
    <row r="41" spans="1:13" x14ac:dyDescent="0.3">
      <c r="A41" s="1" t="str">
        <f>CONCATENATE("Maximale lijfrente in ",rekenjaar)</f>
        <v>Maximale lijfrente in 2026</v>
      </c>
      <c r="B41" s="41">
        <f>B40+B39</f>
        <v>0</v>
      </c>
      <c r="D41" s="35"/>
      <c r="E41" s="35"/>
      <c r="F41" s="35"/>
      <c r="G41" s="35"/>
      <c r="H41" s="35"/>
      <c r="I41" s="35"/>
      <c r="J41" s="35"/>
      <c r="K41" s="35"/>
      <c r="L41" s="35"/>
      <c r="M41" s="35"/>
    </row>
    <row r="42" spans="1:13" x14ac:dyDescent="0.3">
      <c r="A42" s="1"/>
      <c r="B42" s="1"/>
      <c r="D42" s="35"/>
      <c r="E42" s="35"/>
      <c r="F42" s="35"/>
      <c r="G42" s="35"/>
      <c r="H42" s="35"/>
      <c r="I42" s="35"/>
      <c r="J42" s="35"/>
      <c r="K42" s="35"/>
      <c r="L42" s="35"/>
      <c r="M42" s="35"/>
    </row>
    <row r="43" spans="1:13" x14ac:dyDescent="0.3">
      <c r="B43" s="72" t="str">
        <f>IF(COUNTIF($B$23:$M$23,"ja")=0,"",rekenjaar)</f>
        <v/>
      </c>
      <c r="D43" s="1" t="str">
        <f>IF(COUNTIF($B$23:$M$23,"ja")=0,"",D29)</f>
        <v/>
      </c>
      <c r="E43" s="1" t="str">
        <f t="shared" ref="E43:M43" si="10">IF(COUNTIF($B$23:$M$23,"ja")=0,"",E29)</f>
        <v/>
      </c>
      <c r="F43" s="1" t="str">
        <f t="shared" si="10"/>
        <v/>
      </c>
      <c r="G43" s="1" t="str">
        <f t="shared" si="10"/>
        <v/>
      </c>
      <c r="H43" s="1" t="str">
        <f t="shared" si="10"/>
        <v/>
      </c>
      <c r="I43" s="1" t="str">
        <f t="shared" si="10"/>
        <v/>
      </c>
      <c r="J43" s="1" t="str">
        <f t="shared" si="10"/>
        <v/>
      </c>
      <c r="K43" s="1" t="str">
        <f t="shared" si="10"/>
        <v/>
      </c>
      <c r="L43" s="1" t="str">
        <f t="shared" si="10"/>
        <v/>
      </c>
      <c r="M43" s="1" t="str">
        <f t="shared" si="10"/>
        <v/>
      </c>
    </row>
    <row r="44" spans="1:13" x14ac:dyDescent="0.3">
      <c r="A44" s="1" t="str">
        <f>IF(NTTO&gt;0,"Jaarruimte NETTO lijfrente","")</f>
        <v/>
      </c>
      <c r="B44" s="70" t="str">
        <f>IF(NTTO=0,"",IF(B23="nee",0,(B22-_xlfn.XLOOKUP(rekenjaar,jaar,maxsalaris,,))*_xlfn.XLOOKUP(rekenjaar,jaar,NettoLijfrente,,)))</f>
        <v/>
      </c>
      <c r="D44" s="70" t="str">
        <f t="shared" ref="D44:M44" si="11">IF($A$44="","",IF(D23="nee",0,(D22-_xlfn.XLOOKUP(D16,jaar,maxsalaris,,))*_xlfn.XLOOKUP(D16,jaar,NettoLijfrente,,)))</f>
        <v/>
      </c>
      <c r="E44" s="70" t="str">
        <f t="shared" si="11"/>
        <v/>
      </c>
      <c r="F44" s="70" t="str">
        <f t="shared" si="11"/>
        <v/>
      </c>
      <c r="G44" s="70" t="str">
        <f t="shared" si="11"/>
        <v/>
      </c>
      <c r="H44" s="70" t="str">
        <f t="shared" si="11"/>
        <v/>
      </c>
      <c r="I44" s="70" t="str">
        <f t="shared" si="11"/>
        <v/>
      </c>
      <c r="J44" s="70" t="str">
        <f t="shared" si="11"/>
        <v/>
      </c>
      <c r="K44" s="70" t="str">
        <f t="shared" si="11"/>
        <v/>
      </c>
      <c r="L44" s="70" t="str">
        <f t="shared" si="11"/>
        <v/>
      </c>
      <c r="M44" s="70" t="str">
        <f t="shared" si="11"/>
        <v/>
      </c>
    </row>
    <row r="45" spans="1:13" x14ac:dyDescent="0.3">
      <c r="A45" s="1" t="str">
        <f>IF(NTTO&gt;0,"Waarvan gebruikt","")</f>
        <v/>
      </c>
      <c r="B45" s="87"/>
      <c r="C45" s="88"/>
      <c r="D45" s="87"/>
      <c r="E45" s="87"/>
      <c r="F45" s="87"/>
      <c r="G45" s="87"/>
      <c r="H45" s="87"/>
      <c r="I45" s="87"/>
      <c r="J45" s="87"/>
      <c r="K45" s="87"/>
      <c r="L45" s="87"/>
      <c r="M45" s="87"/>
    </row>
    <row r="46" spans="1:13" x14ac:dyDescent="0.3">
      <c r="A46" s="1" t="str">
        <f>IF(NTTO&gt;0,"Ongebruikte jaarruimte NETTO lijfrente","")</f>
        <v/>
      </c>
      <c r="B46" s="86" t="str">
        <f>IF(NTTO=0,"",IF(AOW_5="ja",0,B$44-B$45))</f>
        <v/>
      </c>
      <c r="D46" s="86" t="str">
        <f t="shared" ref="D46:M46" si="12">IF(NTTO=0,"",IF(D23="nee",0,IF(AOW_5="ja",0,D$44-D$45)))</f>
        <v/>
      </c>
      <c r="E46" s="86" t="str">
        <f t="shared" si="12"/>
        <v/>
      </c>
      <c r="F46" s="86" t="str">
        <f t="shared" si="12"/>
        <v/>
      </c>
      <c r="G46" s="86" t="str">
        <f t="shared" si="12"/>
        <v/>
      </c>
      <c r="H46" s="86" t="str">
        <f t="shared" si="12"/>
        <v/>
      </c>
      <c r="I46" s="86" t="str">
        <f t="shared" si="12"/>
        <v/>
      </c>
      <c r="J46" s="86" t="str">
        <f t="shared" si="12"/>
        <v/>
      </c>
      <c r="K46" s="86" t="str">
        <f t="shared" si="12"/>
        <v/>
      </c>
      <c r="L46" s="86" t="str">
        <f t="shared" si="12"/>
        <v/>
      </c>
      <c r="M46" s="86" t="str">
        <f t="shared" si="12"/>
        <v/>
      </c>
    </row>
    <row r="47" spans="1:13" x14ac:dyDescent="0.3">
      <c r="A47" s="1" t="str">
        <f>IF(NTTO&gt;0,"Reserveringsruimte NETTO lijfrente","")</f>
        <v/>
      </c>
      <c r="B47" s="41" t="str">
        <f>IF(NTTO=0,"",MIN(_xlfn.XLOOKUP(rekenjaar,jaar,Max_nettoinhaal,,),SUM(Rekenblad!$D$46:$M$46)))</f>
        <v/>
      </c>
    </row>
    <row r="48" spans="1:13" x14ac:dyDescent="0.3">
      <c r="A48" s="1" t="str">
        <f>IF(NTTO&gt;0,CONCATENATE("Maximale inleg NETTO lijfrente ",rekenjaar),"")</f>
        <v/>
      </c>
      <c r="B48" s="41" t="str">
        <f>IF(NTTO=0,"",B47+B44)</f>
        <v/>
      </c>
      <c r="D48" s="35"/>
      <c r="E48" s="35"/>
      <c r="F48" s="35"/>
      <c r="G48" s="35"/>
      <c r="H48" s="35"/>
      <c r="I48" s="35"/>
      <c r="J48" s="35"/>
      <c r="K48" s="35"/>
      <c r="L48" s="35"/>
      <c r="M48" s="35"/>
    </row>
    <row r="49" spans="1:13" x14ac:dyDescent="0.3">
      <c r="A49" s="1"/>
      <c r="D49" s="35"/>
      <c r="E49" s="35"/>
      <c r="F49" s="35"/>
      <c r="G49" s="35"/>
      <c r="H49" s="35"/>
      <c r="I49" s="35"/>
      <c r="J49" s="35"/>
      <c r="K49" s="35"/>
      <c r="L49" s="35"/>
      <c r="M49" s="35"/>
    </row>
    <row r="50" spans="1:13" hidden="1" x14ac:dyDescent="0.3">
      <c r="A50" s="98" t="s">
        <v>31</v>
      </c>
      <c r="B50" s="98"/>
      <c r="C50" s="98"/>
      <c r="D50" s="98"/>
      <c r="E50" s="98"/>
      <c r="F50" s="98"/>
      <c r="G50" s="98"/>
      <c r="H50" s="98"/>
      <c r="I50" s="98"/>
      <c r="J50" s="98"/>
      <c r="K50" s="98"/>
      <c r="L50" s="98"/>
      <c r="M50" s="98"/>
    </row>
    <row r="51" spans="1:13" hidden="1" x14ac:dyDescent="0.3">
      <c r="A51" s="98"/>
      <c r="B51" s="98"/>
      <c r="C51" s="98"/>
      <c r="D51" s="98"/>
      <c r="E51" s="98"/>
      <c r="F51" s="98"/>
      <c r="G51" s="98"/>
      <c r="H51" s="98"/>
      <c r="I51" s="98"/>
      <c r="J51" s="98"/>
      <c r="K51" s="98"/>
      <c r="L51" s="98"/>
      <c r="M51" s="98"/>
    </row>
    <row r="52" spans="1:13" hidden="1" x14ac:dyDescent="0.3">
      <c r="B52" s="80">
        <v>0</v>
      </c>
      <c r="D52" s="80">
        <v>0</v>
      </c>
      <c r="E52" s="80">
        <v>0</v>
      </c>
      <c r="F52" s="80">
        <v>0</v>
      </c>
      <c r="G52" s="80">
        <v>0</v>
      </c>
      <c r="H52" s="80">
        <v>0</v>
      </c>
      <c r="I52" s="80">
        <v>0</v>
      </c>
      <c r="J52" s="80">
        <v>0</v>
      </c>
      <c r="K52" s="80">
        <v>0</v>
      </c>
      <c r="L52" s="80">
        <v>0</v>
      </c>
      <c r="M52" s="80">
        <v>0</v>
      </c>
    </row>
    <row r="53" spans="1:13" x14ac:dyDescent="0.3">
      <c r="A53" s="82" t="s">
        <v>52</v>
      </c>
    </row>
    <row r="54" spans="1:13" x14ac:dyDescent="0.3">
      <c r="A54" s="105" t="str">
        <f ca="1">CONCATENATE("NNEK behoudt zich het recht voor op elk moment de inhoud van deze ",de_naam," aan te passen of onderdelen te verwijderen zonder daarover aan u mededeling te hoeven doen.")</f>
        <v>NNEK behoudt zich het recht voor op elk moment de inhoud van deze NNEK Jaarruimte 2026.1 aan te passen of onderdelen te verwijderen zonder daarover aan u mededeling te hoeven doen.</v>
      </c>
      <c r="B54" s="102"/>
      <c r="C54" s="102"/>
      <c r="D54" s="102"/>
      <c r="E54" s="102"/>
      <c r="F54" s="102"/>
      <c r="G54" s="102"/>
      <c r="H54" s="102"/>
      <c r="I54" s="102"/>
      <c r="J54" s="102"/>
      <c r="K54" s="102"/>
      <c r="L54" s="102"/>
      <c r="M54" s="102"/>
    </row>
    <row r="55" spans="1:13" x14ac:dyDescent="0.3">
      <c r="A55" s="83"/>
    </row>
    <row r="56" spans="1:13" x14ac:dyDescent="0.3">
      <c r="A56" s="103" t="str">
        <f ca="1">CONCATENATE("NNEK spant zich in om deze ",de_naam," zo actueel en correct mogelijk te houden. Ondanks deze zorg en aandacht is het mogelijk dat inhoud, berekeningen of uitkomsten van deze ",de_naam," onvolledig en/of onjuist zijn.")</f>
        <v>NNEK spant zich in om deze NNEK Jaarruimte 2026.1 zo actueel en correct mogelijk te houden. Ondanks deze zorg en aandacht is het mogelijk dat inhoud, berekeningen of uitkomsten van deze NNEK Jaarruimte 2026.1 onvolledig en/of onjuist zijn.</v>
      </c>
      <c r="B56" s="104"/>
      <c r="C56" s="104"/>
      <c r="D56" s="104"/>
      <c r="E56" s="104"/>
      <c r="F56" s="104"/>
      <c r="G56" s="104"/>
      <c r="H56" s="104"/>
      <c r="I56" s="104"/>
      <c r="J56" s="104"/>
      <c r="K56" s="104"/>
      <c r="L56" s="104"/>
      <c r="M56" s="104"/>
    </row>
    <row r="57" spans="1:13" x14ac:dyDescent="0.3">
      <c r="A57" s="104"/>
      <c r="B57" s="104"/>
      <c r="C57" s="104"/>
      <c r="D57" s="104"/>
      <c r="E57" s="104"/>
      <c r="F57" s="104"/>
      <c r="G57" s="104"/>
      <c r="H57" s="104"/>
      <c r="I57" s="104"/>
      <c r="J57" s="104"/>
      <c r="K57" s="104"/>
      <c r="L57" s="104"/>
      <c r="M57" s="104"/>
    </row>
    <row r="58" spans="1:13" x14ac:dyDescent="0.3">
      <c r="A58" s="83"/>
    </row>
    <row r="59" spans="1:13" x14ac:dyDescent="0.3">
      <c r="A59" s="103" t="str">
        <f ca="1">CONCATENATE("Deze ",de_naam," is bedoeld om inzicht te geven in jaarruimte en reserveringsruimte. Aan het gebruik van deze ",de_naam," kunnen geen rechten worden ontleend. NNEK kan niet aansprakelijk gesteld worden voor schade als gevolg van het gebruik van deze ",de_naam,", de berekeningen en de uitkomsten daarvan. U blijft altijd zelf verantwoordelijk voor de juistheid van de bedragen die u op uw Lijfrenterekening inlegt en aan de Belastingdienst opgeeft.")</f>
        <v>Deze NNEK Jaarruimte 2026.1 is bedoeld om inzicht te geven in jaarruimte en reserveringsruimte. Aan het gebruik van deze NNEK Jaarruimte 2026.1 kunnen geen rechten worden ontleend. NNEK kan niet aansprakelijk gesteld worden voor schade als gevolg van het gebruik van deze NNEK Jaarruimte 2026.1, de berekeningen en de uitkomsten daarvan. U blijft altijd zelf verantwoordelijk voor de juistheid van de bedragen die u op uw Lijfrenterekening inlegt en aan de Belastingdienst opgeeft.</v>
      </c>
      <c r="B59" s="104"/>
      <c r="C59" s="104"/>
      <c r="D59" s="104"/>
      <c r="E59" s="104"/>
      <c r="F59" s="104"/>
      <c r="G59" s="104"/>
      <c r="H59" s="104"/>
      <c r="I59" s="104"/>
      <c r="J59" s="104"/>
      <c r="K59" s="104"/>
      <c r="L59" s="104"/>
      <c r="M59" s="104"/>
    </row>
    <row r="60" spans="1:13" ht="29.25" customHeight="1" x14ac:dyDescent="0.3">
      <c r="A60" s="104"/>
      <c r="B60" s="104"/>
      <c r="C60" s="104"/>
      <c r="D60" s="104"/>
      <c r="E60" s="104"/>
      <c r="F60" s="104"/>
      <c r="G60" s="104"/>
      <c r="H60" s="104"/>
      <c r="I60" s="104"/>
      <c r="J60" s="104"/>
      <c r="K60" s="104"/>
      <c r="L60" s="104"/>
      <c r="M60" s="104"/>
    </row>
    <row r="62" spans="1:13" x14ac:dyDescent="0.3">
      <c r="A62" s="102" t="str">
        <f ca="1">CONCATENATE("NNEK geeft geen fiscaal advies en de berekeningen en uitkomsten van deze ",de_naam," kunnen dan ook niet als fiscaal advies beschouwd worden. Vraag altijd fiscaal en financieel advies aan uw financieel adviseur.")</f>
        <v>NNEK geeft geen fiscaal advies en de berekeningen en uitkomsten van deze NNEK Jaarruimte 2026.1 kunnen dan ook niet als fiscaal advies beschouwd worden. Vraag altijd fiscaal en financieel advies aan uw financieel adviseur.</v>
      </c>
      <c r="B62" s="102"/>
      <c r="C62" s="102"/>
      <c r="D62" s="102"/>
      <c r="E62" s="102"/>
      <c r="F62" s="102"/>
      <c r="G62" s="102"/>
      <c r="H62" s="102"/>
      <c r="I62" s="102"/>
      <c r="J62" s="102"/>
      <c r="K62" s="102"/>
      <c r="L62" s="102"/>
      <c r="M62" s="102"/>
    </row>
    <row r="64" spans="1:13" x14ac:dyDescent="0.3">
      <c r="A64" s="102" t="s">
        <v>53</v>
      </c>
      <c r="B64" s="102"/>
      <c r="C64" s="102"/>
      <c r="D64" s="102"/>
      <c r="E64" s="102"/>
      <c r="F64" s="102"/>
      <c r="G64" s="102"/>
      <c r="H64" s="102"/>
      <c r="I64" s="102"/>
      <c r="J64" s="102"/>
      <c r="K64" s="102"/>
      <c r="L64" s="102"/>
      <c r="M64" s="102"/>
    </row>
  </sheetData>
  <sheetProtection algorithmName="SHA-512" hashValue="Z3reMcMf3hZ8zSsME6nTr+cqWON26Phz1CElmtK6nPniQS/AcZieiEov4mUgiusaCvPp6j2aAMJsLCImLSY6Fw==" saltValue="lwYHJnFtPnoAfW2ZTsFeyA==" spinCount="100000" sheet="1" selectLockedCells="1"/>
  <mergeCells count="10">
    <mergeCell ref="A64:M64"/>
    <mergeCell ref="A56:M57"/>
    <mergeCell ref="A54:M54"/>
    <mergeCell ref="A59:M60"/>
    <mergeCell ref="A62:M62"/>
    <mergeCell ref="A12:B15"/>
    <mergeCell ref="D12:M15"/>
    <mergeCell ref="A50:M51"/>
    <mergeCell ref="A10:M10"/>
    <mergeCell ref="L1:M1"/>
  </mergeCells>
  <conditionalFormatting sqref="B18">
    <cfRule type="expression" dxfId="16" priority="45">
      <formula>$B$8="nee"</formula>
    </cfRule>
  </conditionalFormatting>
  <conditionalFormatting sqref="B19">
    <cfRule type="expression" dxfId="15" priority="46">
      <formula>$B$9="nee"</formula>
    </cfRule>
  </conditionalFormatting>
  <conditionalFormatting sqref="B20">
    <cfRule type="expression" dxfId="14" priority="33">
      <formula>$B$9="nee"</formula>
    </cfRule>
  </conditionalFormatting>
  <conditionalFormatting sqref="B24">
    <cfRule type="expression" dxfId="13" priority="43">
      <formula>$B$8="nee"</formula>
    </cfRule>
  </conditionalFormatting>
  <conditionalFormatting sqref="B44 B27 D27:M27">
    <cfRule type="expression" dxfId="12" priority="53">
      <formula>$A$27=""</formula>
    </cfRule>
  </conditionalFormatting>
  <conditionalFormatting sqref="B44">
    <cfRule type="cellIs" dxfId="11" priority="25" operator="notEqual">
      <formula>""</formula>
    </cfRule>
  </conditionalFormatting>
  <conditionalFormatting sqref="B45">
    <cfRule type="expression" dxfId="10" priority="5">
      <formula>$N$23&gt;0</formula>
    </cfRule>
  </conditionalFormatting>
  <conditionalFormatting sqref="B46">
    <cfRule type="expression" dxfId="9" priority="3">
      <formula>$N$23&gt;0</formula>
    </cfRule>
  </conditionalFormatting>
  <conditionalFormatting sqref="B47:B48">
    <cfRule type="cellIs" dxfId="8" priority="21" operator="equal">
      <formula>""</formula>
    </cfRule>
  </conditionalFormatting>
  <conditionalFormatting sqref="D18:M18">
    <cfRule type="expression" dxfId="7" priority="11">
      <formula>$B$8="nee"</formula>
    </cfRule>
  </conditionalFormatting>
  <conditionalFormatting sqref="D19:M19">
    <cfRule type="expression" dxfId="6" priority="52">
      <formula>$B$9="nee"</formula>
    </cfRule>
  </conditionalFormatting>
  <conditionalFormatting sqref="D20:M20">
    <cfRule type="expression" dxfId="5" priority="1">
      <formula>$B$9="nee"</formula>
    </cfRule>
  </conditionalFormatting>
  <conditionalFormatting sqref="D24:M24">
    <cfRule type="expression" dxfId="4" priority="39">
      <formula>$B$8="nee"</formula>
    </cfRule>
  </conditionalFormatting>
  <conditionalFormatting sqref="D44:M44">
    <cfRule type="cellIs" dxfId="3" priority="23" operator="notEqual">
      <formula>""</formula>
    </cfRule>
    <cfRule type="expression" dxfId="2" priority="24">
      <formula>$A$27=""</formula>
    </cfRule>
  </conditionalFormatting>
  <conditionalFormatting sqref="D45:M45">
    <cfRule type="expression" dxfId="1" priority="6">
      <formula>$N$23&gt;0</formula>
    </cfRule>
  </conditionalFormatting>
  <conditionalFormatting sqref="D46:M46">
    <cfRule type="expression" dxfId="0" priority="4">
      <formula>$N$23&gt;0</formula>
    </cfRule>
  </conditionalFormatting>
  <dataValidations xWindow="466" yWindow="626" count="8">
    <dataValidation allowBlank="1" showInputMessage="1" showErrorMessage="1" promptTitle="Winst of verlies" prompt="Is er sprake van verlies? Zet dan een min-teken voor het bedrag." sqref="B19 D19:M19" xr:uid="{F087E46F-BE36-4BF9-8288-45EA072236BA}"/>
    <dataValidation allowBlank="1" showInputMessage="1" showErrorMessage="1" promptTitle="Toe-/afname FOR" prompt="Is de FOR per saldo afgenomen? Zet dan een min-teken voor het bedrag." sqref="F20:M20" xr:uid="{0B5E1624-8E5E-4E88-A0C5-D5DD56F20F37}"/>
    <dataValidation type="list" allowBlank="1" showInputMessage="1" showErrorMessage="1" sqref="B8:B9" xr:uid="{FAB37879-4D87-462D-9F3D-E3076BECBB2A}">
      <formula1>"ja,nee"</formula1>
    </dataValidation>
    <dataValidation allowBlank="1" showInputMessage="1" showErrorMessage="1" promptTitle="Inkomen" prompt="Vul hier het belastbaar loon plus eventuele bijtelling auto van de zaak" sqref="B18 D18:M18" xr:uid="{0A8C80A2-29E7-41DA-A36E-4FEFD1714BCE}"/>
    <dataValidation allowBlank="1" showInputMessage="1" showErrorMessage="1" promptTitle="Factor A" prompt="De Factor A vind je op het jaarlijkse pensioenoverzicht" sqref="B24 D24:M24" xr:uid="{38ECCA6A-2FFD-4D3B-86F5-4E99E6AD5EFC}"/>
    <dataValidation type="whole" allowBlank="1" showInputMessage="1" showErrorMessage="1" errorTitle="Toe-/afname FOR" error="Toename van FOR is sinds 1-1-2023 niet meer toegestaan" promptTitle="Afname FOR" prompt="Toename van FOR is sinds 1-1-2023 niet meer toegestaan" sqref="B20 D20:E20" xr:uid="{465C112F-655D-445C-9F10-DE1FA9726161}">
      <formula1>-1000000</formula1>
      <formula2>0</formula2>
    </dataValidation>
    <dataValidation type="whole" allowBlank="1" showInputMessage="1" showErrorMessage="1" errorTitle="Toe-/afname FOR" error="Toename van FOR is sinds 1-1-2023 niet meer toegestaan" promptTitle="premie netto pensioen" sqref="B27" xr:uid="{98EA9B3A-D2A7-48B1-823E-AC36384D3CDE}">
      <formula1>0</formula1>
      <formula2>10000</formula2>
    </dataValidation>
    <dataValidation type="whole" allowBlank="1" showInputMessage="1" promptTitle="premie netto pensioen" sqref="D27:M27" xr:uid="{CABA735D-3AF7-4356-A7A9-B064F6F7A768}">
      <formula1>0</formula1>
      <formula2>10000</formula2>
    </dataValidation>
  </dataValidations>
  <pageMargins left="0.7" right="0.7" top="0.75" bottom="0.75" header="0.3" footer="0.3"/>
  <pageSetup scale="4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8D698-102F-4FDB-BE69-2BA0AAFF974D}">
  <dimension ref="A1:L14"/>
  <sheetViews>
    <sheetView workbookViewId="0">
      <selection activeCell="B4" sqref="B4"/>
    </sheetView>
  </sheetViews>
  <sheetFormatPr defaultRowHeight="14.4" x14ac:dyDescent="0.3"/>
  <cols>
    <col min="1" max="1" width="31.88671875" bestFit="1" customWidth="1"/>
    <col min="2" max="7" width="9.88671875" bestFit="1" customWidth="1"/>
    <col min="9" max="10" width="9.88671875" bestFit="1" customWidth="1"/>
  </cols>
  <sheetData>
    <row r="1" spans="1:12" x14ac:dyDescent="0.3">
      <c r="A1" s="106" t="str">
        <f>CONCATENATE("Onderstaande gegevens kun je volgend jaar opnieuw gebruiken in de geupdate versie voor ",rekenjaar+1,". Zo hoef je niet alle gegevens van voorgaande jaren opnieuw op te vragen en in te vullen.")</f>
        <v>Onderstaande gegevens kun je volgend jaar opnieuw gebruiken in de geupdate versie voor 2027. Zo hoef je niet alle gegevens van voorgaande jaren opnieuw op te vragen en in te vullen.</v>
      </c>
      <c r="B1" s="106"/>
      <c r="C1" s="106"/>
      <c r="D1" s="106"/>
      <c r="E1" s="106"/>
      <c r="F1" s="106"/>
      <c r="G1" s="106"/>
      <c r="H1" s="106"/>
      <c r="I1" s="106"/>
      <c r="J1" s="106"/>
      <c r="K1" s="106"/>
      <c r="L1" s="106"/>
    </row>
    <row r="2" spans="1:12" x14ac:dyDescent="0.3">
      <c r="A2" s="106"/>
      <c r="B2" s="106"/>
      <c r="C2" s="106"/>
      <c r="D2" s="106"/>
      <c r="E2" s="106"/>
      <c r="F2" s="106"/>
      <c r="G2" s="106"/>
      <c r="H2" s="106"/>
      <c r="I2" s="106"/>
      <c r="J2" s="106"/>
      <c r="K2" s="106"/>
      <c r="L2" s="106"/>
    </row>
    <row r="3" spans="1:12" x14ac:dyDescent="0.3">
      <c r="A3" s="106"/>
      <c r="B3" s="106"/>
      <c r="C3" s="106"/>
      <c r="D3" s="106"/>
      <c r="E3" s="106"/>
      <c r="F3" s="106"/>
      <c r="G3" s="106"/>
      <c r="H3" s="106"/>
      <c r="I3" s="106"/>
      <c r="J3" s="106"/>
      <c r="K3" s="106"/>
      <c r="L3" s="106"/>
    </row>
    <row r="4" spans="1:12" x14ac:dyDescent="0.3">
      <c r="B4" s="1">
        <f>rekenjaar</f>
        <v>2026</v>
      </c>
      <c r="C4" s="1">
        <f>Rekenblad!D16</f>
        <v>2025</v>
      </c>
      <c r="D4" s="1">
        <f>Rekenblad!E16</f>
        <v>2024</v>
      </c>
      <c r="E4" s="1">
        <f>Rekenblad!F16</f>
        <v>2023</v>
      </c>
      <c r="F4" s="1">
        <f>Rekenblad!G16</f>
        <v>2022</v>
      </c>
      <c r="G4" s="1">
        <f>Rekenblad!H16</f>
        <v>2021</v>
      </c>
      <c r="H4" s="1">
        <f>Rekenblad!I16</f>
        <v>2020</v>
      </c>
      <c r="I4" s="1">
        <f>Rekenblad!J16</f>
        <v>2019</v>
      </c>
      <c r="J4" s="1">
        <f>Rekenblad!K16</f>
        <v>2018</v>
      </c>
      <c r="K4" s="1">
        <f>Rekenblad!L16</f>
        <v>2017</v>
      </c>
      <c r="L4" s="1">
        <f>Rekenblad!M16</f>
        <v>2016</v>
      </c>
    </row>
    <row r="5" spans="1:12" x14ac:dyDescent="0.3">
      <c r="A5" t="s">
        <v>57</v>
      </c>
      <c r="B5" s="2">
        <f>Rekenblad!B18</f>
        <v>0</v>
      </c>
      <c r="C5" s="2">
        <f>Rekenblad!D18</f>
        <v>0</v>
      </c>
      <c r="D5" s="2">
        <f>Rekenblad!E18</f>
        <v>0</v>
      </c>
      <c r="E5" s="2">
        <f>Rekenblad!F18</f>
        <v>0</v>
      </c>
      <c r="F5" s="2">
        <f>Rekenblad!G18</f>
        <v>0</v>
      </c>
      <c r="G5" s="2">
        <f>Rekenblad!H18</f>
        <v>0</v>
      </c>
      <c r="H5" s="2">
        <f>Rekenblad!I18</f>
        <v>0</v>
      </c>
      <c r="I5" s="2">
        <f>Rekenblad!J18</f>
        <v>0</v>
      </c>
      <c r="J5" s="2">
        <f>Rekenblad!K18</f>
        <v>0</v>
      </c>
      <c r="K5" s="2">
        <f>Rekenblad!L18</f>
        <v>0</v>
      </c>
      <c r="L5" s="2">
        <f>Rekenblad!M18</f>
        <v>0</v>
      </c>
    </row>
    <row r="6" spans="1:12" x14ac:dyDescent="0.3">
      <c r="A6" t="s">
        <v>28</v>
      </c>
      <c r="B6" s="2">
        <f>Rekenblad!B24</f>
        <v>0</v>
      </c>
      <c r="C6" s="2">
        <f>Rekenblad!D24</f>
        <v>0</v>
      </c>
      <c r="D6" s="2">
        <f>Rekenblad!E24</f>
        <v>0</v>
      </c>
      <c r="E6" s="2">
        <f>Rekenblad!F24</f>
        <v>0</v>
      </c>
      <c r="F6" s="2">
        <f>Rekenblad!G24</f>
        <v>0</v>
      </c>
      <c r="G6" s="2">
        <f>Rekenblad!H24</f>
        <v>0</v>
      </c>
      <c r="H6" s="2">
        <f>Rekenblad!I24</f>
        <v>0</v>
      </c>
      <c r="I6" s="2">
        <f>Rekenblad!J24</f>
        <v>0</v>
      </c>
      <c r="J6" s="2">
        <f>Rekenblad!K24</f>
        <v>0</v>
      </c>
      <c r="K6" s="2">
        <f>Rekenblad!L24</f>
        <v>0</v>
      </c>
      <c r="L6" s="2">
        <f>Rekenblad!M24</f>
        <v>0</v>
      </c>
    </row>
    <row r="7" spans="1:12" x14ac:dyDescent="0.3">
      <c r="A7" t="s">
        <v>29</v>
      </c>
      <c r="B7" s="2">
        <f>Rekenblad!B19</f>
        <v>0</v>
      </c>
      <c r="C7" s="2">
        <f>Rekenblad!D19</f>
        <v>0</v>
      </c>
      <c r="D7" s="2">
        <f>Rekenblad!E19</f>
        <v>0</v>
      </c>
      <c r="E7" s="2">
        <f>Rekenblad!F19</f>
        <v>0</v>
      </c>
      <c r="F7" s="2">
        <f>Rekenblad!G19</f>
        <v>0</v>
      </c>
      <c r="G7" s="2">
        <f>Rekenblad!H19</f>
        <v>0</v>
      </c>
      <c r="H7" s="2">
        <f>Rekenblad!I19</f>
        <v>0</v>
      </c>
      <c r="I7" s="2">
        <f>Rekenblad!J19</f>
        <v>0</v>
      </c>
      <c r="J7" s="2">
        <f>Rekenblad!K19</f>
        <v>0</v>
      </c>
      <c r="K7" s="2">
        <f>Rekenblad!L19</f>
        <v>0</v>
      </c>
      <c r="L7" s="2">
        <f>Rekenblad!M19</f>
        <v>0</v>
      </c>
    </row>
    <row r="8" spans="1:12" x14ac:dyDescent="0.3">
      <c r="A8" t="s">
        <v>33</v>
      </c>
      <c r="B8" s="2">
        <f>Rekenblad!B20</f>
        <v>0</v>
      </c>
      <c r="C8" s="2">
        <f>Rekenblad!D20</f>
        <v>0</v>
      </c>
      <c r="D8" s="2">
        <f>Rekenblad!E20</f>
        <v>0</v>
      </c>
      <c r="E8" s="2">
        <f>Rekenblad!F20</f>
        <v>0</v>
      </c>
      <c r="F8" s="2">
        <f>Rekenblad!G20</f>
        <v>0</v>
      </c>
      <c r="G8" s="2">
        <f>Rekenblad!H20</f>
        <v>0</v>
      </c>
      <c r="H8" s="2">
        <f>Rekenblad!I20</f>
        <v>0</v>
      </c>
      <c r="I8" s="2">
        <f>Rekenblad!J20</f>
        <v>0</v>
      </c>
      <c r="J8" s="2">
        <f>Rekenblad!K20</f>
        <v>0</v>
      </c>
      <c r="K8" s="2">
        <f>Rekenblad!L20</f>
        <v>0</v>
      </c>
      <c r="L8" s="2">
        <f>Rekenblad!M20</f>
        <v>0</v>
      </c>
    </row>
    <row r="9" spans="1:12" x14ac:dyDescent="0.3">
      <c r="B9" s="2"/>
      <c r="C9" s="2"/>
      <c r="D9" s="2"/>
      <c r="E9" s="2"/>
      <c r="F9" s="2"/>
      <c r="G9" s="2"/>
      <c r="H9" s="2"/>
      <c r="I9" s="2"/>
      <c r="J9" s="2"/>
      <c r="K9" s="2"/>
      <c r="L9" s="2"/>
    </row>
    <row r="10" spans="1:12" x14ac:dyDescent="0.3">
      <c r="B10" s="2"/>
      <c r="C10" s="2"/>
      <c r="D10" s="2"/>
      <c r="E10" s="2"/>
      <c r="F10" s="2"/>
      <c r="G10" s="2"/>
      <c r="H10" s="2"/>
      <c r="I10" s="2"/>
      <c r="J10" s="2"/>
      <c r="K10" s="2"/>
      <c r="L10" s="2"/>
    </row>
    <row r="11" spans="1:12" x14ac:dyDescent="0.3">
      <c r="A11" t="s">
        <v>30</v>
      </c>
      <c r="B11" s="2">
        <f>Rekenblad!B52</f>
        <v>0</v>
      </c>
      <c r="C11" s="2">
        <f>Rekenblad!D52</f>
        <v>0</v>
      </c>
      <c r="D11" s="2">
        <f>Rekenblad!E52</f>
        <v>0</v>
      </c>
      <c r="E11" s="2">
        <f>Rekenblad!F52</f>
        <v>0</v>
      </c>
      <c r="F11" s="2">
        <f>Rekenblad!G52</f>
        <v>0</v>
      </c>
      <c r="G11" s="2">
        <f>Rekenblad!H52</f>
        <v>0</v>
      </c>
      <c r="H11" s="2">
        <f>Rekenblad!I52</f>
        <v>0</v>
      </c>
      <c r="I11" s="2">
        <f>Rekenblad!J52</f>
        <v>0</v>
      </c>
      <c r="J11" s="2">
        <f>Rekenblad!K52</f>
        <v>0</v>
      </c>
      <c r="K11" s="2">
        <f>Rekenblad!L52</f>
        <v>0</v>
      </c>
      <c r="L11" s="2">
        <f>Rekenblad!M52</f>
        <v>0</v>
      </c>
    </row>
    <row r="14" spans="1:12" x14ac:dyDescent="0.3">
      <c r="A14" s="35" t="s">
        <v>60</v>
      </c>
    </row>
  </sheetData>
  <mergeCells count="1">
    <mergeCell ref="A1: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73358-E8EC-4462-B880-9D38ED35995B}">
  <dimension ref="A1:U34"/>
  <sheetViews>
    <sheetView showGridLines="0" workbookViewId="0">
      <selection activeCell="H16" sqref="H16"/>
    </sheetView>
  </sheetViews>
  <sheetFormatPr defaultColWidth="12.109375" defaultRowHeight="14.4" x14ac:dyDescent="0.3"/>
  <cols>
    <col min="1" max="1" width="5" style="17" bestFit="1" customWidth="1"/>
    <col min="2" max="2" width="10.109375" style="17" bestFit="1" customWidth="1"/>
    <col min="3" max="3" width="12.5546875" style="17" customWidth="1"/>
    <col min="4" max="4" width="11.5546875" style="17" customWidth="1"/>
    <col min="5" max="7" width="11.5546875" style="40" customWidth="1"/>
    <col min="8" max="9" width="11.5546875" style="17" customWidth="1"/>
    <col min="10" max="10" width="18.5546875" style="14" customWidth="1"/>
    <col min="11" max="11" width="23.88671875" style="14" bestFit="1" customWidth="1"/>
    <col min="12" max="12" width="23.88671875" style="14" customWidth="1"/>
    <col min="13" max="13" width="7.109375" style="17" bestFit="1" customWidth="1"/>
    <col min="14" max="14" width="10.109375" style="17" bestFit="1" customWidth="1"/>
    <col min="15" max="15" width="11.6640625" style="17" bestFit="1" customWidth="1"/>
    <col min="16" max="16" width="5" style="17" customWidth="1"/>
    <col min="17" max="17" width="14.44140625" style="19" customWidth="1"/>
    <col min="18" max="18" width="12.44140625" style="19" bestFit="1" customWidth="1"/>
    <col min="19" max="19" width="5.5546875" style="48" bestFit="1" customWidth="1"/>
    <col min="20" max="20" width="12.6640625" style="55" bestFit="1" customWidth="1"/>
    <col min="21" max="21" width="9.33203125" style="56" bestFit="1" customWidth="1"/>
    <col min="22" max="16384" width="12.109375" style="19"/>
  </cols>
  <sheetData>
    <row r="1" spans="1:21" s="5" customFormat="1" ht="31.8" thickBot="1" x14ac:dyDescent="0.35">
      <c r="A1" s="6" t="s">
        <v>22</v>
      </c>
      <c r="B1" s="6" t="s">
        <v>0</v>
      </c>
      <c r="C1" s="6" t="s">
        <v>1</v>
      </c>
      <c r="D1" s="6" t="s">
        <v>5</v>
      </c>
      <c r="E1" s="36" t="s">
        <v>77</v>
      </c>
      <c r="F1" s="36" t="s">
        <v>32</v>
      </c>
      <c r="G1" s="36" t="s">
        <v>67</v>
      </c>
      <c r="H1" s="6" t="s">
        <v>7</v>
      </c>
      <c r="I1" s="6" t="s">
        <v>8</v>
      </c>
      <c r="J1" s="7" t="s">
        <v>23</v>
      </c>
      <c r="K1" s="7" t="s">
        <v>24</v>
      </c>
      <c r="L1" s="7" t="s">
        <v>74</v>
      </c>
      <c r="M1" s="6" t="s">
        <v>3</v>
      </c>
      <c r="N1" s="6" t="s">
        <v>4</v>
      </c>
      <c r="O1" s="6" t="s">
        <v>6</v>
      </c>
      <c r="P1" s="6"/>
      <c r="Q1" s="3" t="s">
        <v>18</v>
      </c>
      <c r="R1" s="4" t="s">
        <v>17</v>
      </c>
      <c r="S1" s="47"/>
      <c r="T1" s="57" t="s">
        <v>19</v>
      </c>
      <c r="U1" s="52"/>
    </row>
    <row r="2" spans="1:21" ht="15.6" x14ac:dyDescent="0.3">
      <c r="A2" s="15"/>
      <c r="B2" s="15"/>
      <c r="C2" s="15"/>
      <c r="D2" s="15"/>
      <c r="E2" s="37"/>
      <c r="F2" s="37"/>
      <c r="G2" s="37"/>
      <c r="H2" s="15"/>
      <c r="I2" s="15"/>
      <c r="J2" s="16"/>
      <c r="K2" s="16"/>
      <c r="L2" s="16"/>
      <c r="Q2" s="49"/>
      <c r="R2" s="50"/>
      <c r="S2" s="51"/>
      <c r="T2" s="53" t="s">
        <v>58</v>
      </c>
      <c r="U2" s="54" t="s">
        <v>59</v>
      </c>
    </row>
    <row r="3" spans="1:21" x14ac:dyDescent="0.3">
      <c r="A3" s="17">
        <f t="shared" ref="A3" si="0">A4-1</f>
        <v>2013</v>
      </c>
      <c r="B3" s="20">
        <v>11829</v>
      </c>
      <c r="C3" s="21">
        <v>0.17</v>
      </c>
      <c r="D3" s="22">
        <v>7.5</v>
      </c>
      <c r="E3" s="38"/>
      <c r="F3" s="38"/>
      <c r="G3" s="38"/>
      <c r="H3" s="8">
        <v>162457</v>
      </c>
      <c r="I3" s="8">
        <v>27618</v>
      </c>
      <c r="J3" s="23">
        <v>6989</v>
      </c>
      <c r="K3" s="23">
        <v>13802</v>
      </c>
      <c r="L3" s="23"/>
      <c r="M3" s="24">
        <v>0.12</v>
      </c>
      <c r="N3" s="9">
        <v>9542</v>
      </c>
      <c r="O3" s="25">
        <v>174286</v>
      </c>
      <c r="P3" s="25"/>
      <c r="Q3" s="58">
        <v>1</v>
      </c>
      <c r="R3" s="58">
        <v>17532</v>
      </c>
      <c r="S3" s="59">
        <f>T3+U3/12</f>
        <v>65</v>
      </c>
      <c r="T3" s="60">
        <v>65</v>
      </c>
      <c r="U3" s="61">
        <v>0</v>
      </c>
    </row>
    <row r="4" spans="1:21" x14ac:dyDescent="0.3">
      <c r="A4" s="17">
        <f>A5-1</f>
        <v>2014</v>
      </c>
      <c r="B4" s="20">
        <v>11829</v>
      </c>
      <c r="C4" s="21">
        <v>0.155</v>
      </c>
      <c r="D4" s="22">
        <v>7.2</v>
      </c>
      <c r="E4" s="38"/>
      <c r="F4" s="38"/>
      <c r="G4" s="38"/>
      <c r="H4" s="8">
        <v>162457</v>
      </c>
      <c r="I4" s="8">
        <v>25181</v>
      </c>
      <c r="J4" s="23">
        <v>6989</v>
      </c>
      <c r="K4" s="23">
        <v>13802</v>
      </c>
      <c r="L4" s="23"/>
      <c r="M4" s="24">
        <v>0.109</v>
      </c>
      <c r="N4" s="9">
        <v>9542</v>
      </c>
      <c r="O4" s="25">
        <v>174286</v>
      </c>
      <c r="P4" s="25"/>
      <c r="Q4" s="58">
        <v>17533</v>
      </c>
      <c r="R4" s="58">
        <v>17501</v>
      </c>
      <c r="S4" s="59">
        <f t="shared" ref="S4:S29" si="1">T4+U4/12</f>
        <v>65.083333333333329</v>
      </c>
      <c r="T4" s="60">
        <v>65</v>
      </c>
      <c r="U4" s="61">
        <v>1</v>
      </c>
    </row>
    <row r="5" spans="1:21" x14ac:dyDescent="0.3">
      <c r="A5" s="17">
        <v>2015</v>
      </c>
      <c r="B5" s="20">
        <v>11936</v>
      </c>
      <c r="C5" s="21">
        <v>0.13800000000000001</v>
      </c>
      <c r="D5" s="22">
        <v>6.5</v>
      </c>
      <c r="E5" s="38">
        <v>0.52</v>
      </c>
      <c r="F5" s="39">
        <f>1-E5</f>
        <v>0.48</v>
      </c>
      <c r="G5" s="39">
        <f>C5*F5</f>
        <v>6.6240000000000007E-2</v>
      </c>
      <c r="H5" s="10">
        <f t="shared" ref="H5:H13" si="2">O5-B5</f>
        <v>88064</v>
      </c>
      <c r="I5" s="8">
        <v>12153</v>
      </c>
      <c r="J5" s="23">
        <v>7052</v>
      </c>
      <c r="K5" s="23">
        <v>13927</v>
      </c>
      <c r="L5" s="23">
        <f t="shared" ref="L5:L13" si="3">F5*J5</f>
        <v>3384.96</v>
      </c>
      <c r="M5" s="24">
        <v>9.8000000000000004E-2</v>
      </c>
      <c r="N5" s="9">
        <v>8631</v>
      </c>
      <c r="O5" s="25">
        <v>100000</v>
      </c>
      <c r="P5" s="25"/>
      <c r="Q5" s="58">
        <v>17502</v>
      </c>
      <c r="R5" s="58">
        <v>18202</v>
      </c>
      <c r="S5" s="59">
        <f t="shared" si="1"/>
        <v>65.166666666666671</v>
      </c>
      <c r="T5" s="60">
        <v>65</v>
      </c>
      <c r="U5" s="61">
        <v>2</v>
      </c>
    </row>
    <row r="6" spans="1:21" x14ac:dyDescent="0.3">
      <c r="A6" s="26">
        <v>2016</v>
      </c>
      <c r="B6" s="27">
        <v>11996</v>
      </c>
      <c r="C6" s="28">
        <v>0.13800000000000001</v>
      </c>
      <c r="D6" s="29">
        <v>6.5</v>
      </c>
      <c r="E6" s="38">
        <v>0.52</v>
      </c>
      <c r="F6" s="39">
        <f t="shared" ref="F6:F16" si="4">1-E6</f>
        <v>0.48</v>
      </c>
      <c r="G6" s="39">
        <f t="shared" ref="G6:G16" si="5">C6*F6</f>
        <v>6.6240000000000007E-2</v>
      </c>
      <c r="H6" s="10">
        <f t="shared" si="2"/>
        <v>89523</v>
      </c>
      <c r="I6" s="10">
        <v>12355</v>
      </c>
      <c r="J6" s="23">
        <v>7088</v>
      </c>
      <c r="K6" s="23">
        <v>13997</v>
      </c>
      <c r="L6" s="23">
        <f t="shared" si="3"/>
        <v>3402.24</v>
      </c>
      <c r="M6" s="30">
        <v>9.8000000000000004E-2</v>
      </c>
      <c r="N6" s="11">
        <v>8774</v>
      </c>
      <c r="O6" s="25">
        <v>101519</v>
      </c>
      <c r="P6" s="25"/>
      <c r="Q6" s="58">
        <v>18203</v>
      </c>
      <c r="R6" s="58">
        <v>18536</v>
      </c>
      <c r="S6" s="59">
        <f t="shared" si="1"/>
        <v>65.25</v>
      </c>
      <c r="T6" s="60">
        <v>65</v>
      </c>
      <c r="U6" s="61">
        <v>3</v>
      </c>
    </row>
    <row r="7" spans="1:21" customFormat="1" x14ac:dyDescent="0.3">
      <c r="A7" s="26">
        <v>2017</v>
      </c>
      <c r="B7" s="27">
        <v>12032</v>
      </c>
      <c r="C7" s="28">
        <v>0.13800000000000001</v>
      </c>
      <c r="D7" s="29">
        <v>6.5</v>
      </c>
      <c r="E7" s="38">
        <v>0.52</v>
      </c>
      <c r="F7" s="39">
        <f t="shared" si="4"/>
        <v>0.48</v>
      </c>
      <c r="G7" s="39">
        <f t="shared" si="5"/>
        <v>6.6240000000000007E-2</v>
      </c>
      <c r="H7" s="10">
        <f t="shared" si="2"/>
        <v>91285</v>
      </c>
      <c r="I7" s="10">
        <v>12598</v>
      </c>
      <c r="J7" s="23">
        <v>7110</v>
      </c>
      <c r="K7" s="23">
        <v>14039</v>
      </c>
      <c r="L7" s="23">
        <f t="shared" si="3"/>
        <v>3412.7999999999997</v>
      </c>
      <c r="M7" s="30">
        <v>9.8000000000000004E-2</v>
      </c>
      <c r="N7" s="11">
        <v>8946</v>
      </c>
      <c r="O7" s="31">
        <v>103317</v>
      </c>
      <c r="P7" s="31"/>
      <c r="Q7" s="58">
        <v>18537</v>
      </c>
      <c r="R7" s="58">
        <v>18809</v>
      </c>
      <c r="S7" s="59">
        <f t="shared" si="1"/>
        <v>65.5</v>
      </c>
      <c r="T7" s="60">
        <v>65</v>
      </c>
      <c r="U7" s="61">
        <v>6</v>
      </c>
    </row>
    <row r="8" spans="1:21" x14ac:dyDescent="0.3">
      <c r="A8" s="26">
        <v>2018</v>
      </c>
      <c r="B8" s="27">
        <v>12129</v>
      </c>
      <c r="C8" s="28">
        <v>0.13300000000000001</v>
      </c>
      <c r="D8" s="29">
        <v>6.27</v>
      </c>
      <c r="E8" s="38">
        <v>0.51950000000000007</v>
      </c>
      <c r="F8" s="39">
        <f t="shared" si="4"/>
        <v>0.48049999999999993</v>
      </c>
      <c r="G8" s="39">
        <f t="shared" si="5"/>
        <v>6.3906499999999991E-2</v>
      </c>
      <c r="H8" s="10">
        <f t="shared" si="2"/>
        <v>92946</v>
      </c>
      <c r="I8" s="10">
        <f>ROUNDUP(C8*(O8-B8),0)</f>
        <v>12362</v>
      </c>
      <c r="J8" s="23">
        <v>7167</v>
      </c>
      <c r="K8" s="23">
        <v>14152</v>
      </c>
      <c r="L8" s="23">
        <f t="shared" si="3"/>
        <v>3443.7434999999996</v>
      </c>
      <c r="M8" s="32">
        <v>9.4399999999999998E-2</v>
      </c>
      <c r="N8" s="11">
        <v>8775</v>
      </c>
      <c r="O8" s="31">
        <v>105075</v>
      </c>
      <c r="P8" s="31"/>
      <c r="Q8" s="58">
        <v>18810</v>
      </c>
      <c r="R8" s="58">
        <v>19084</v>
      </c>
      <c r="S8" s="59">
        <f t="shared" si="1"/>
        <v>65.75</v>
      </c>
      <c r="T8" s="60">
        <v>65</v>
      </c>
      <c r="U8" s="61">
        <v>9</v>
      </c>
    </row>
    <row r="9" spans="1:21" x14ac:dyDescent="0.3">
      <c r="A9" s="26">
        <v>2019</v>
      </c>
      <c r="B9" s="27">
        <v>12275</v>
      </c>
      <c r="C9" s="28">
        <f t="shared" ref="C9:D13" si="6">C8</f>
        <v>0.13300000000000001</v>
      </c>
      <c r="D9" s="29">
        <f t="shared" si="6"/>
        <v>6.27</v>
      </c>
      <c r="E9" s="38">
        <v>0.51749999999999996</v>
      </c>
      <c r="F9" s="39">
        <f t="shared" si="4"/>
        <v>0.48250000000000004</v>
      </c>
      <c r="G9" s="39">
        <f t="shared" si="5"/>
        <v>6.4172500000000007E-2</v>
      </c>
      <c r="H9" s="10">
        <f t="shared" si="2"/>
        <v>95318</v>
      </c>
      <c r="I9" s="10">
        <f>ROUNDUP(C9*(O9-B9),0)</f>
        <v>12678</v>
      </c>
      <c r="J9" s="23">
        <v>7254</v>
      </c>
      <c r="K9" s="23">
        <v>14322</v>
      </c>
      <c r="L9" s="23">
        <f t="shared" si="3"/>
        <v>3500.0550000000003</v>
      </c>
      <c r="M9" s="32">
        <v>9.4399999999999998E-2</v>
      </c>
      <c r="N9" s="11">
        <v>8999</v>
      </c>
      <c r="O9" s="27">
        <v>107593</v>
      </c>
      <c r="P9" s="27"/>
      <c r="Q9" s="58">
        <v>19085</v>
      </c>
      <c r="R9" s="58">
        <v>19359</v>
      </c>
      <c r="S9" s="59">
        <f t="shared" si="1"/>
        <v>66</v>
      </c>
      <c r="T9" s="60">
        <v>66</v>
      </c>
      <c r="U9" s="61">
        <v>0</v>
      </c>
    </row>
    <row r="10" spans="1:21" x14ac:dyDescent="0.3">
      <c r="A10" s="26">
        <v>2020</v>
      </c>
      <c r="B10" s="23">
        <v>12472</v>
      </c>
      <c r="C10" s="28">
        <f t="shared" si="6"/>
        <v>0.13300000000000001</v>
      </c>
      <c r="D10" s="29">
        <f t="shared" si="6"/>
        <v>6.27</v>
      </c>
      <c r="E10" s="38">
        <v>0.495</v>
      </c>
      <c r="F10" s="39">
        <f t="shared" si="4"/>
        <v>0.505</v>
      </c>
      <c r="G10" s="39">
        <f t="shared" si="5"/>
        <v>6.7165000000000002E-2</v>
      </c>
      <c r="H10" s="12">
        <f t="shared" si="2"/>
        <v>97639</v>
      </c>
      <c r="I10" s="12">
        <v>12986</v>
      </c>
      <c r="J10" s="23">
        <v>7371</v>
      </c>
      <c r="K10" s="23">
        <v>14552</v>
      </c>
      <c r="L10" s="23">
        <f t="shared" si="3"/>
        <v>3722.355</v>
      </c>
      <c r="M10" s="32">
        <v>9.4399999999999998E-2</v>
      </c>
      <c r="N10" s="13">
        <v>9218</v>
      </c>
      <c r="O10" s="23">
        <v>110111</v>
      </c>
      <c r="P10" s="23"/>
      <c r="Q10" s="58">
        <v>19360</v>
      </c>
      <c r="R10" s="58">
        <v>19602</v>
      </c>
      <c r="S10" s="59">
        <f t="shared" si="1"/>
        <v>66.333333333333329</v>
      </c>
      <c r="T10" s="60">
        <v>66</v>
      </c>
      <c r="U10" s="61">
        <v>4</v>
      </c>
    </row>
    <row r="11" spans="1:21" x14ac:dyDescent="0.3">
      <c r="A11" s="26">
        <v>2021</v>
      </c>
      <c r="B11" s="23">
        <v>12672</v>
      </c>
      <c r="C11" s="28">
        <f t="shared" si="6"/>
        <v>0.13300000000000001</v>
      </c>
      <c r="D11" s="29">
        <f t="shared" si="6"/>
        <v>6.27</v>
      </c>
      <c r="E11" s="38">
        <v>0.495</v>
      </c>
      <c r="F11" s="39">
        <f t="shared" si="4"/>
        <v>0.505</v>
      </c>
      <c r="G11" s="39">
        <f t="shared" si="5"/>
        <v>6.7165000000000002E-2</v>
      </c>
      <c r="H11" s="10">
        <f t="shared" si="2"/>
        <v>99517</v>
      </c>
      <c r="I11" s="12">
        <f>ROUNDUP(C11*(O11-B11),0)</f>
        <v>13236</v>
      </c>
      <c r="J11" s="23">
        <v>7489</v>
      </c>
      <c r="K11" s="23">
        <v>14785</v>
      </c>
      <c r="L11" s="23">
        <f t="shared" si="3"/>
        <v>3781.9450000000002</v>
      </c>
      <c r="M11" s="32">
        <v>9.4399999999999998E-2</v>
      </c>
      <c r="N11" s="13">
        <v>9395</v>
      </c>
      <c r="O11" s="23">
        <v>112189</v>
      </c>
      <c r="P11" s="23"/>
      <c r="Q11" s="58">
        <v>19603</v>
      </c>
      <c r="R11" s="58">
        <v>19967</v>
      </c>
      <c r="S11" s="59">
        <f t="shared" si="1"/>
        <v>66.333333333333329</v>
      </c>
      <c r="T11" s="60">
        <v>66</v>
      </c>
      <c r="U11" s="61">
        <v>4</v>
      </c>
    </row>
    <row r="12" spans="1:21" x14ac:dyDescent="0.3">
      <c r="A12" s="26">
        <v>2022</v>
      </c>
      <c r="B12" s="23">
        <v>12837</v>
      </c>
      <c r="C12" s="28">
        <f t="shared" si="6"/>
        <v>0.13300000000000001</v>
      </c>
      <c r="D12" s="29">
        <f t="shared" si="6"/>
        <v>6.27</v>
      </c>
      <c r="E12" s="38">
        <v>0.495</v>
      </c>
      <c r="F12" s="39">
        <f t="shared" si="4"/>
        <v>0.505</v>
      </c>
      <c r="G12" s="39">
        <f t="shared" si="5"/>
        <v>6.7165000000000002E-2</v>
      </c>
      <c r="H12" s="12">
        <f t="shared" si="2"/>
        <v>102029</v>
      </c>
      <c r="I12" s="12">
        <f>ROUNDUP(C12*(O12-B12),0)</f>
        <v>13570</v>
      </c>
      <c r="J12" s="23">
        <v>7587</v>
      </c>
      <c r="K12" s="23">
        <v>14978</v>
      </c>
      <c r="L12" s="23">
        <f t="shared" si="3"/>
        <v>3831.4349999999999</v>
      </c>
      <c r="M12" s="32">
        <v>9.4399999999999998E-2</v>
      </c>
      <c r="N12" s="13">
        <v>9632</v>
      </c>
      <c r="O12" s="23">
        <v>114866</v>
      </c>
      <c r="P12" s="23"/>
      <c r="Q12" s="58">
        <v>19968</v>
      </c>
      <c r="R12" s="58">
        <v>20332</v>
      </c>
      <c r="S12" s="59">
        <f t="shared" si="1"/>
        <v>66.333333333333329</v>
      </c>
      <c r="T12" s="60">
        <v>66</v>
      </c>
      <c r="U12" s="61">
        <v>4</v>
      </c>
    </row>
    <row r="13" spans="1:21" x14ac:dyDescent="0.3">
      <c r="A13" s="26">
        <v>2023</v>
      </c>
      <c r="B13" s="23">
        <v>13646</v>
      </c>
      <c r="C13" s="28">
        <v>0.3</v>
      </c>
      <c r="D13" s="29">
        <f t="shared" si="6"/>
        <v>6.27</v>
      </c>
      <c r="E13" s="38">
        <v>0.495</v>
      </c>
      <c r="F13" s="39">
        <f t="shared" si="4"/>
        <v>0.505</v>
      </c>
      <c r="G13" s="39">
        <f t="shared" si="5"/>
        <v>0.1515</v>
      </c>
      <c r="H13" s="12">
        <f t="shared" si="2"/>
        <v>115164</v>
      </c>
      <c r="I13" s="12">
        <v>38000</v>
      </c>
      <c r="J13" s="23">
        <v>38000</v>
      </c>
      <c r="K13" s="23">
        <v>38000</v>
      </c>
      <c r="L13" s="23">
        <f t="shared" si="3"/>
        <v>19190</v>
      </c>
      <c r="M13" s="32">
        <v>9.4399999999999998E-2</v>
      </c>
      <c r="N13" s="13">
        <v>9632</v>
      </c>
      <c r="O13" s="23">
        <v>128810</v>
      </c>
      <c r="P13" s="23"/>
      <c r="Q13" s="58">
        <v>20333</v>
      </c>
      <c r="R13" s="58">
        <v>20606</v>
      </c>
      <c r="S13" s="59">
        <f t="shared" si="1"/>
        <v>66.583333333333329</v>
      </c>
      <c r="T13" s="60">
        <v>66</v>
      </c>
      <c r="U13" s="61">
        <v>7</v>
      </c>
    </row>
    <row r="14" spans="1:21" x14ac:dyDescent="0.3">
      <c r="A14" s="26">
        <v>2024</v>
      </c>
      <c r="B14" s="23">
        <v>17545</v>
      </c>
      <c r="C14" s="28">
        <v>0.3</v>
      </c>
      <c r="D14" s="29">
        <f t="shared" ref="D14" si="7">D13</f>
        <v>6.27</v>
      </c>
      <c r="E14" s="38">
        <v>0.495</v>
      </c>
      <c r="F14" s="39">
        <f t="shared" si="4"/>
        <v>0.505</v>
      </c>
      <c r="G14" s="39">
        <f t="shared" si="5"/>
        <v>0.1515</v>
      </c>
      <c r="H14" s="12">
        <f t="shared" ref="H14:H25" si="8">O14-B14</f>
        <v>120255</v>
      </c>
      <c r="I14" s="12">
        <v>36077</v>
      </c>
      <c r="J14" s="23">
        <v>41608</v>
      </c>
      <c r="K14" s="23">
        <v>41608</v>
      </c>
      <c r="L14" s="23">
        <f>F14*J14</f>
        <v>21012.04</v>
      </c>
      <c r="M14" s="32">
        <v>9.4399999999999998E-2</v>
      </c>
      <c r="N14" s="13">
        <v>9632</v>
      </c>
      <c r="O14" s="23">
        <v>137800</v>
      </c>
      <c r="Q14" s="58">
        <v>20607</v>
      </c>
      <c r="R14" s="58">
        <v>20880</v>
      </c>
      <c r="S14" s="59">
        <f t="shared" si="1"/>
        <v>66.833333333333329</v>
      </c>
      <c r="T14" s="60">
        <v>66</v>
      </c>
      <c r="U14" s="61">
        <v>10</v>
      </c>
    </row>
    <row r="15" spans="1:21" x14ac:dyDescent="0.3">
      <c r="A15" s="26">
        <v>2025</v>
      </c>
      <c r="B15" s="23">
        <v>18475</v>
      </c>
      <c r="C15" s="28">
        <v>0.3</v>
      </c>
      <c r="D15" s="29">
        <f t="shared" ref="D15" si="9">D14</f>
        <v>6.27</v>
      </c>
      <c r="E15" s="39">
        <v>0.495</v>
      </c>
      <c r="F15" s="39">
        <f t="shared" si="4"/>
        <v>0.505</v>
      </c>
      <c r="G15" s="39">
        <f t="shared" si="5"/>
        <v>0.1515</v>
      </c>
      <c r="H15" s="12">
        <f t="shared" si="8"/>
        <v>119325</v>
      </c>
      <c r="I15" s="92">
        <f>CEILING(C15*H15,1)</f>
        <v>35798</v>
      </c>
      <c r="J15" s="23">
        <v>42108</v>
      </c>
      <c r="K15" s="23">
        <v>42108</v>
      </c>
      <c r="L15" s="23">
        <f>F15*J15</f>
        <v>21264.54</v>
      </c>
      <c r="M15" s="32">
        <v>9.4399999999999998E-2</v>
      </c>
      <c r="N15" s="13">
        <v>9632</v>
      </c>
      <c r="O15" s="23">
        <v>137800</v>
      </c>
      <c r="Q15" s="58">
        <v>20881</v>
      </c>
      <c r="R15" s="58">
        <v>20879</v>
      </c>
      <c r="S15" s="59">
        <f t="shared" si="1"/>
        <v>66.833333333333329</v>
      </c>
      <c r="T15" s="60">
        <v>66</v>
      </c>
      <c r="U15" s="61">
        <v>10</v>
      </c>
    </row>
    <row r="16" spans="1:21" x14ac:dyDescent="0.3">
      <c r="A16" s="93">
        <v>2026</v>
      </c>
      <c r="B16" s="62">
        <v>19172</v>
      </c>
      <c r="C16" s="63">
        <v>0.3</v>
      </c>
      <c r="D16" s="64">
        <f t="shared" ref="D16" si="10">D15</f>
        <v>6.27</v>
      </c>
      <c r="E16" s="38">
        <v>0.495</v>
      </c>
      <c r="F16" s="39">
        <f t="shared" si="4"/>
        <v>0.505</v>
      </c>
      <c r="G16" s="39">
        <f t="shared" si="5"/>
        <v>0.1515</v>
      </c>
      <c r="H16" s="94">
        <f t="shared" si="8"/>
        <v>118628</v>
      </c>
      <c r="I16" s="94">
        <f>CEILING(C16*H16,1)</f>
        <v>35589</v>
      </c>
      <c r="J16" s="62">
        <v>42753</v>
      </c>
      <c r="K16" s="62">
        <v>42753</v>
      </c>
      <c r="L16" s="62">
        <v>21591</v>
      </c>
      <c r="M16" s="32">
        <v>9.4399999999999998E-2</v>
      </c>
      <c r="N16" s="95">
        <v>9632</v>
      </c>
      <c r="O16" s="62">
        <v>137800</v>
      </c>
      <c r="P16" s="33"/>
      <c r="Q16" s="58">
        <v>20880</v>
      </c>
      <c r="R16" s="58">
        <v>22281</v>
      </c>
      <c r="S16" s="59">
        <f t="shared" si="1"/>
        <v>67</v>
      </c>
      <c r="T16" s="60">
        <v>67</v>
      </c>
      <c r="U16" s="61">
        <v>0</v>
      </c>
    </row>
    <row r="17" spans="1:21" x14ac:dyDescent="0.3">
      <c r="A17" s="26">
        <v>2027</v>
      </c>
      <c r="B17" s="23"/>
      <c r="C17" s="28">
        <v>0.3</v>
      </c>
      <c r="D17" s="29">
        <f t="shared" ref="D17" si="11">D16</f>
        <v>6.27</v>
      </c>
      <c r="E17" s="39"/>
      <c r="F17" s="39"/>
      <c r="G17" s="39"/>
      <c r="H17" s="12">
        <f t="shared" si="8"/>
        <v>0</v>
      </c>
      <c r="I17" s="12"/>
      <c r="J17" s="23"/>
      <c r="K17" s="23"/>
      <c r="L17" s="23"/>
      <c r="M17" s="32">
        <v>9.4399999999999998E-2</v>
      </c>
      <c r="N17" s="13">
        <v>9632</v>
      </c>
      <c r="O17" s="23"/>
      <c r="Q17" s="58">
        <v>22282</v>
      </c>
      <c r="R17" s="58">
        <v>23284</v>
      </c>
      <c r="S17" s="59">
        <f t="shared" si="1"/>
        <v>67.25</v>
      </c>
      <c r="T17" s="60">
        <v>67</v>
      </c>
      <c r="U17" s="61">
        <v>3</v>
      </c>
    </row>
    <row r="18" spans="1:21" x14ac:dyDescent="0.3">
      <c r="A18" s="26">
        <v>2028</v>
      </c>
      <c r="B18" s="23"/>
      <c r="C18" s="28">
        <v>0.3</v>
      </c>
      <c r="D18" s="29">
        <f t="shared" ref="D18" si="12">D17</f>
        <v>6.27</v>
      </c>
      <c r="E18" s="39"/>
      <c r="F18" s="39"/>
      <c r="G18" s="39"/>
      <c r="H18" s="12">
        <f t="shared" si="8"/>
        <v>0</v>
      </c>
      <c r="I18" s="12"/>
      <c r="J18" s="23"/>
      <c r="K18" s="23"/>
      <c r="L18" s="23"/>
      <c r="M18" s="32">
        <v>9.4399999999999998E-2</v>
      </c>
      <c r="N18" s="13">
        <v>9632</v>
      </c>
      <c r="O18" s="23"/>
      <c r="P18" s="34"/>
      <c r="Q18" s="18">
        <v>23285</v>
      </c>
      <c r="R18" s="18">
        <v>24380</v>
      </c>
      <c r="S18" s="48">
        <f t="shared" si="1"/>
        <v>67.25</v>
      </c>
      <c r="T18" s="55">
        <v>67</v>
      </c>
      <c r="U18" s="56">
        <v>3</v>
      </c>
    </row>
    <row r="19" spans="1:21" x14ac:dyDescent="0.3">
      <c r="A19" s="26">
        <v>2029</v>
      </c>
      <c r="B19" s="23"/>
      <c r="C19" s="28">
        <v>0.3</v>
      </c>
      <c r="D19" s="29">
        <f t="shared" ref="D19" si="13">D18</f>
        <v>6.27</v>
      </c>
      <c r="E19" s="39"/>
      <c r="F19" s="39"/>
      <c r="G19" s="39"/>
      <c r="H19" s="12">
        <f t="shared" si="8"/>
        <v>0</v>
      </c>
      <c r="I19" s="12"/>
      <c r="J19" s="23"/>
      <c r="K19" s="23"/>
      <c r="L19" s="23"/>
      <c r="M19" s="32">
        <v>9.4399999999999998E-2</v>
      </c>
      <c r="N19" s="13">
        <v>9632</v>
      </c>
      <c r="O19" s="23"/>
      <c r="Q19" s="18">
        <v>24381</v>
      </c>
      <c r="R19" s="18">
        <v>25384</v>
      </c>
      <c r="S19" s="48">
        <f t="shared" si="1"/>
        <v>67.5</v>
      </c>
      <c r="T19" s="55">
        <v>67</v>
      </c>
      <c r="U19" s="56">
        <v>6</v>
      </c>
    </row>
    <row r="20" spans="1:21" x14ac:dyDescent="0.3">
      <c r="A20" s="26">
        <v>2030</v>
      </c>
      <c r="B20" s="23"/>
      <c r="C20" s="28">
        <v>0.3</v>
      </c>
      <c r="D20" s="29">
        <f t="shared" ref="D20" si="14">D19</f>
        <v>6.27</v>
      </c>
      <c r="E20" s="39"/>
      <c r="F20" s="39"/>
      <c r="G20" s="39"/>
      <c r="H20" s="12">
        <f t="shared" si="8"/>
        <v>0</v>
      </c>
      <c r="I20" s="12"/>
      <c r="J20" s="23"/>
      <c r="K20" s="23"/>
      <c r="L20" s="23"/>
      <c r="M20" s="32">
        <v>9.4399999999999998E-2</v>
      </c>
      <c r="N20" s="13">
        <v>9632</v>
      </c>
      <c r="O20" s="23"/>
      <c r="Q20" s="18">
        <v>25385</v>
      </c>
      <c r="R20" s="18">
        <v>26389</v>
      </c>
      <c r="S20" s="48">
        <f t="shared" si="1"/>
        <v>67.75</v>
      </c>
      <c r="T20" s="55">
        <v>67</v>
      </c>
      <c r="U20" s="56">
        <v>9</v>
      </c>
    </row>
    <row r="21" spans="1:21" x14ac:dyDescent="0.3">
      <c r="A21" s="26">
        <v>2031</v>
      </c>
      <c r="B21" s="23"/>
      <c r="C21" s="28">
        <v>0.3</v>
      </c>
      <c r="D21" s="29">
        <f t="shared" ref="D21" si="15">D20</f>
        <v>6.27</v>
      </c>
      <c r="E21" s="39"/>
      <c r="F21" s="39"/>
      <c r="G21" s="39"/>
      <c r="H21" s="12">
        <f t="shared" si="8"/>
        <v>0</v>
      </c>
      <c r="I21" s="12"/>
      <c r="J21" s="23"/>
      <c r="K21" s="23"/>
      <c r="L21" s="23"/>
      <c r="M21" s="32">
        <v>9.4399999999999998E-2</v>
      </c>
      <c r="N21" s="13">
        <v>9632</v>
      </c>
      <c r="O21" s="23"/>
      <c r="Q21" s="18">
        <v>26390</v>
      </c>
      <c r="R21" s="18">
        <v>27394</v>
      </c>
      <c r="S21" s="48">
        <f t="shared" si="1"/>
        <v>68</v>
      </c>
      <c r="T21" s="55">
        <v>68</v>
      </c>
      <c r="U21" s="56">
        <v>0</v>
      </c>
    </row>
    <row r="22" spans="1:21" x14ac:dyDescent="0.3">
      <c r="A22" s="26">
        <v>2032</v>
      </c>
      <c r="B22" s="23"/>
      <c r="C22" s="28">
        <v>0.3</v>
      </c>
      <c r="D22" s="29">
        <f t="shared" ref="D22" si="16">D21</f>
        <v>6.27</v>
      </c>
      <c r="E22" s="39"/>
      <c r="F22" s="39"/>
      <c r="G22" s="39"/>
      <c r="H22" s="12">
        <f t="shared" si="8"/>
        <v>0</v>
      </c>
      <c r="I22" s="12"/>
      <c r="J22" s="23"/>
      <c r="K22" s="23"/>
      <c r="L22" s="23"/>
      <c r="M22" s="32">
        <v>9.4399999999999998E-2</v>
      </c>
      <c r="N22" s="13">
        <v>9632</v>
      </c>
      <c r="O22" s="23"/>
      <c r="Q22" s="18">
        <v>27395</v>
      </c>
      <c r="R22" s="18">
        <v>28763</v>
      </c>
      <c r="S22" s="48">
        <f t="shared" si="1"/>
        <v>68.25</v>
      </c>
      <c r="T22" s="55">
        <v>68</v>
      </c>
      <c r="U22" s="56">
        <v>3</v>
      </c>
    </row>
    <row r="23" spans="1:21" x14ac:dyDescent="0.3">
      <c r="A23" s="26">
        <v>2033</v>
      </c>
      <c r="B23" s="23"/>
      <c r="C23" s="28">
        <v>0.3</v>
      </c>
      <c r="D23" s="29">
        <f t="shared" ref="D23" si="17">D22</f>
        <v>6.27</v>
      </c>
      <c r="E23" s="39"/>
      <c r="F23" s="39"/>
      <c r="G23" s="39"/>
      <c r="H23" s="12">
        <f t="shared" si="8"/>
        <v>0</v>
      </c>
      <c r="I23" s="12"/>
      <c r="J23" s="23"/>
      <c r="K23" s="23"/>
      <c r="L23" s="23"/>
      <c r="M23" s="32">
        <v>9.4399999999999998E-2</v>
      </c>
      <c r="N23" s="13">
        <v>9632</v>
      </c>
      <c r="O23" s="23"/>
      <c r="Q23" s="18">
        <v>28764</v>
      </c>
      <c r="R23" s="18">
        <v>29767</v>
      </c>
      <c r="S23" s="48">
        <f t="shared" si="1"/>
        <v>68.5</v>
      </c>
      <c r="T23" s="55">
        <v>68</v>
      </c>
      <c r="U23" s="56">
        <v>6</v>
      </c>
    </row>
    <row r="24" spans="1:21" x14ac:dyDescent="0.3">
      <c r="A24" s="26">
        <v>2034</v>
      </c>
      <c r="B24" s="23"/>
      <c r="C24" s="28">
        <v>0.3</v>
      </c>
      <c r="D24" s="29">
        <f t="shared" ref="D24" si="18">D23</f>
        <v>6.27</v>
      </c>
      <c r="E24" s="39"/>
      <c r="F24" s="39"/>
      <c r="G24" s="39"/>
      <c r="H24" s="12">
        <f t="shared" si="8"/>
        <v>0</v>
      </c>
      <c r="I24" s="12"/>
      <c r="J24" s="23"/>
      <c r="K24" s="23"/>
      <c r="L24" s="23"/>
      <c r="M24" s="32">
        <v>9.4399999999999998E-2</v>
      </c>
      <c r="N24" s="13">
        <v>9632</v>
      </c>
      <c r="O24" s="23"/>
      <c r="Q24" s="18">
        <v>29768</v>
      </c>
      <c r="R24" s="18">
        <v>31137</v>
      </c>
      <c r="S24" s="48">
        <f t="shared" si="1"/>
        <v>68.75</v>
      </c>
      <c r="T24" s="55">
        <v>68</v>
      </c>
      <c r="U24" s="56">
        <v>9</v>
      </c>
    </row>
    <row r="25" spans="1:21" x14ac:dyDescent="0.3">
      <c r="A25" s="26">
        <v>2035</v>
      </c>
      <c r="B25" s="23"/>
      <c r="C25" s="28">
        <v>0.3</v>
      </c>
      <c r="D25" s="29">
        <f t="shared" ref="D25" si="19">D24</f>
        <v>6.27</v>
      </c>
      <c r="E25" s="39"/>
      <c r="F25" s="39"/>
      <c r="G25" s="39"/>
      <c r="H25" s="12">
        <f t="shared" si="8"/>
        <v>0</v>
      </c>
      <c r="I25" s="12"/>
      <c r="J25" s="23"/>
      <c r="K25" s="23"/>
      <c r="L25" s="23"/>
      <c r="M25" s="32">
        <v>9.4399999999999998E-2</v>
      </c>
      <c r="N25" s="13">
        <v>9632</v>
      </c>
      <c r="O25" s="23"/>
      <c r="Q25" s="18">
        <v>31138</v>
      </c>
      <c r="R25" s="18">
        <v>32142</v>
      </c>
      <c r="S25" s="48">
        <f t="shared" si="1"/>
        <v>69</v>
      </c>
      <c r="T25" s="55">
        <v>69</v>
      </c>
      <c r="U25" s="56">
        <v>0</v>
      </c>
    </row>
    <row r="26" spans="1:21" x14ac:dyDescent="0.3">
      <c r="Q26" s="18">
        <v>32143</v>
      </c>
      <c r="R26" s="18">
        <v>33511</v>
      </c>
      <c r="S26" s="48">
        <f t="shared" si="1"/>
        <v>69.25</v>
      </c>
      <c r="T26" s="55">
        <v>69</v>
      </c>
      <c r="U26" s="56">
        <v>3</v>
      </c>
    </row>
    <row r="27" spans="1:21" x14ac:dyDescent="0.3">
      <c r="Q27" s="18">
        <v>33512</v>
      </c>
      <c r="R27" s="18">
        <v>34880</v>
      </c>
      <c r="S27" s="48">
        <f t="shared" si="1"/>
        <v>69.5</v>
      </c>
      <c r="T27" s="55">
        <v>69</v>
      </c>
      <c r="U27" s="56">
        <v>6</v>
      </c>
    </row>
    <row r="28" spans="1:21" x14ac:dyDescent="0.3">
      <c r="Q28" s="18">
        <v>34881</v>
      </c>
      <c r="R28" s="18">
        <v>36250</v>
      </c>
      <c r="S28" s="48">
        <f t="shared" si="1"/>
        <v>69.75</v>
      </c>
      <c r="T28" s="55">
        <v>69</v>
      </c>
      <c r="U28" s="56">
        <v>9</v>
      </c>
    </row>
    <row r="29" spans="1:21" x14ac:dyDescent="0.3">
      <c r="Q29" s="18">
        <v>36251</v>
      </c>
      <c r="R29" s="18">
        <v>47484</v>
      </c>
      <c r="S29" s="48">
        <f t="shared" si="1"/>
        <v>70</v>
      </c>
      <c r="T29" s="55">
        <v>70</v>
      </c>
      <c r="U29" s="56">
        <v>0</v>
      </c>
    </row>
    <row r="30" spans="1:21" x14ac:dyDescent="0.3">
      <c r="Q30" s="18"/>
      <c r="R30" s="18"/>
    </row>
    <row r="31" spans="1:21" x14ac:dyDescent="0.3">
      <c r="Q31" s="18"/>
      <c r="R31" s="18"/>
    </row>
    <row r="32" spans="1:21" x14ac:dyDescent="0.3">
      <c r="Q32" s="18"/>
      <c r="R32" s="18"/>
    </row>
    <row r="33" spans="17:18" x14ac:dyDescent="0.3">
      <c r="Q33" s="18"/>
      <c r="R33" s="18"/>
    </row>
    <row r="34" spans="17:18" x14ac:dyDescent="0.3">
      <c r="Q34" s="18"/>
      <c r="R34" s="18"/>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58095-17BD-4C62-BB4B-B58030F5CBC4}">
  <dimension ref="A1:P37"/>
  <sheetViews>
    <sheetView workbookViewId="0">
      <selection activeCell="B19" sqref="B19"/>
    </sheetView>
  </sheetViews>
  <sheetFormatPr defaultRowHeight="14.4" x14ac:dyDescent="0.3"/>
  <cols>
    <col min="2" max="2" width="63.5546875" bestFit="1" customWidth="1"/>
  </cols>
  <sheetData>
    <row r="1" spans="1:16" s="1" customFormat="1" x14ac:dyDescent="0.3">
      <c r="A1" s="1" t="s">
        <v>36</v>
      </c>
      <c r="B1" s="66" t="s">
        <v>35</v>
      </c>
      <c r="C1" s="66"/>
      <c r="D1" s="66"/>
      <c r="E1" s="66"/>
      <c r="F1" s="66"/>
      <c r="G1" s="66"/>
      <c r="H1" s="66"/>
      <c r="I1" s="66"/>
      <c r="J1" s="66"/>
      <c r="K1" s="66"/>
      <c r="L1" s="66"/>
      <c r="M1" s="66"/>
      <c r="N1" s="66"/>
      <c r="O1" s="66"/>
      <c r="P1" s="66"/>
    </row>
    <row r="2" spans="1:16" x14ac:dyDescent="0.3">
      <c r="A2" t="s">
        <v>34</v>
      </c>
      <c r="B2" s="65" t="s">
        <v>37</v>
      </c>
      <c r="C2" s="65"/>
      <c r="D2" s="65"/>
      <c r="E2" s="65"/>
      <c r="F2" s="65"/>
      <c r="G2" s="65"/>
      <c r="H2" s="65"/>
      <c r="I2" s="65"/>
      <c r="J2" s="65"/>
      <c r="K2" s="65"/>
      <c r="L2" s="65"/>
      <c r="M2" s="65"/>
      <c r="N2" s="65"/>
      <c r="O2" s="65"/>
      <c r="P2" s="65"/>
    </row>
    <row r="3" spans="1:16" x14ac:dyDescent="0.3">
      <c r="B3" s="65" t="s">
        <v>38</v>
      </c>
      <c r="C3" s="65"/>
      <c r="D3" s="65"/>
      <c r="E3" s="65"/>
      <c r="F3" s="65"/>
      <c r="G3" s="65"/>
      <c r="H3" s="65"/>
      <c r="I3" s="65"/>
      <c r="J3" s="65"/>
      <c r="K3" s="65"/>
      <c r="L3" s="65"/>
      <c r="M3" s="65"/>
      <c r="N3" s="65"/>
      <c r="O3" s="65"/>
      <c r="P3" s="65"/>
    </row>
    <row r="4" spans="1:16" x14ac:dyDescent="0.3">
      <c r="B4" s="65" t="s">
        <v>39</v>
      </c>
      <c r="C4" s="65"/>
      <c r="D4" s="65"/>
      <c r="E4" s="65"/>
      <c r="F4" s="65"/>
      <c r="G4" s="65"/>
      <c r="H4" s="65"/>
      <c r="I4" s="65"/>
      <c r="J4" s="65"/>
      <c r="K4" s="65"/>
      <c r="L4" s="65"/>
      <c r="M4" s="65"/>
      <c r="N4" s="65"/>
      <c r="O4" s="65"/>
      <c r="P4" s="65"/>
    </row>
    <row r="5" spans="1:16" x14ac:dyDescent="0.3">
      <c r="A5" t="s">
        <v>40</v>
      </c>
      <c r="B5" s="65" t="s">
        <v>43</v>
      </c>
      <c r="C5" s="65"/>
      <c r="D5" s="65"/>
      <c r="E5" s="65"/>
      <c r="F5" s="65"/>
      <c r="G5" s="65"/>
      <c r="H5" s="65"/>
      <c r="I5" s="65"/>
      <c r="J5" s="65"/>
      <c r="K5" s="65"/>
      <c r="L5" s="65"/>
      <c r="M5" s="65"/>
      <c r="N5" s="65"/>
      <c r="O5" s="65"/>
      <c r="P5" s="65"/>
    </row>
    <row r="6" spans="1:16" x14ac:dyDescent="0.3">
      <c r="B6" t="s">
        <v>44</v>
      </c>
    </row>
    <row r="7" spans="1:16" x14ac:dyDescent="0.3">
      <c r="A7" t="s">
        <v>41</v>
      </c>
      <c r="B7" s="65" t="s">
        <v>42</v>
      </c>
      <c r="C7" s="65"/>
      <c r="D7" s="65"/>
      <c r="E7" s="65"/>
      <c r="F7" s="65"/>
      <c r="G7" s="65"/>
      <c r="H7" s="65"/>
      <c r="I7" s="65"/>
      <c r="J7" s="65"/>
      <c r="K7" s="65"/>
      <c r="L7" s="65"/>
      <c r="M7" s="65"/>
      <c r="N7" s="65"/>
      <c r="O7" s="65"/>
      <c r="P7" s="65"/>
    </row>
    <row r="8" spans="1:16" x14ac:dyDescent="0.3">
      <c r="B8" s="65" t="s">
        <v>50</v>
      </c>
      <c r="C8" s="65"/>
      <c r="D8" s="65"/>
      <c r="E8" s="65"/>
      <c r="F8" s="65"/>
      <c r="G8" s="65"/>
      <c r="H8" s="65"/>
      <c r="I8" s="65"/>
      <c r="J8" s="65"/>
      <c r="K8" s="65"/>
      <c r="L8" s="65"/>
      <c r="M8" s="65"/>
      <c r="N8" s="65"/>
      <c r="O8" s="65"/>
      <c r="P8" s="65"/>
    </row>
    <row r="9" spans="1:16" x14ac:dyDescent="0.3">
      <c r="B9" s="65" t="s">
        <v>45</v>
      </c>
      <c r="C9" s="65"/>
      <c r="D9" s="65"/>
      <c r="E9" s="65"/>
      <c r="F9" s="65"/>
      <c r="G9" s="65"/>
      <c r="H9" s="65"/>
      <c r="I9" s="65"/>
      <c r="J9" s="65"/>
      <c r="K9" s="65"/>
      <c r="L9" s="65"/>
      <c r="M9" s="65"/>
      <c r="N9" s="65"/>
      <c r="O9" s="65"/>
      <c r="P9" s="65"/>
    </row>
    <row r="10" spans="1:16" x14ac:dyDescent="0.3">
      <c r="B10" s="65" t="s">
        <v>46</v>
      </c>
      <c r="C10" s="65"/>
      <c r="D10" s="65"/>
      <c r="E10" s="65"/>
      <c r="F10" s="65"/>
      <c r="G10" s="65"/>
      <c r="H10" s="65"/>
      <c r="I10" s="65"/>
      <c r="J10" s="65"/>
      <c r="K10" s="65"/>
      <c r="L10" s="65"/>
      <c r="M10" s="65"/>
      <c r="N10" s="65"/>
      <c r="O10" s="65"/>
      <c r="P10" s="65"/>
    </row>
    <row r="11" spans="1:16" x14ac:dyDescent="0.3">
      <c r="B11" s="65" t="s">
        <v>51</v>
      </c>
      <c r="C11" s="65"/>
      <c r="D11" s="65"/>
      <c r="E11" s="65"/>
      <c r="F11" s="65"/>
      <c r="G11" s="65"/>
      <c r="H11" s="65"/>
      <c r="I11" s="65"/>
      <c r="J11" s="65"/>
      <c r="K11" s="65"/>
      <c r="L11" s="65"/>
      <c r="M11" s="65"/>
      <c r="N11" s="65"/>
      <c r="O11" s="65"/>
      <c r="P11" s="65"/>
    </row>
    <row r="12" spans="1:16" x14ac:dyDescent="0.3">
      <c r="A12" t="s">
        <v>54</v>
      </c>
      <c r="B12" s="65" t="s">
        <v>55</v>
      </c>
      <c r="C12" s="65"/>
      <c r="D12" s="65"/>
      <c r="E12" s="65"/>
      <c r="F12" s="65"/>
      <c r="G12" s="65"/>
      <c r="H12" s="65"/>
      <c r="I12" s="65"/>
      <c r="J12" s="65"/>
      <c r="K12" s="65"/>
      <c r="L12" s="65"/>
      <c r="M12" s="65"/>
      <c r="N12" s="65"/>
      <c r="O12" s="65"/>
      <c r="P12" s="65"/>
    </row>
    <row r="13" spans="1:16" x14ac:dyDescent="0.3">
      <c r="A13" t="s">
        <v>61</v>
      </c>
      <c r="B13" s="65" t="s">
        <v>62</v>
      </c>
      <c r="C13" s="65"/>
      <c r="D13" s="65"/>
      <c r="E13" s="65"/>
      <c r="F13" s="65"/>
      <c r="G13" s="65"/>
      <c r="H13" s="65"/>
      <c r="I13" s="65"/>
      <c r="J13" s="65"/>
      <c r="K13" s="65"/>
      <c r="L13" s="65"/>
      <c r="M13" s="65"/>
      <c r="N13" s="65"/>
      <c r="O13" s="65"/>
      <c r="P13" s="65"/>
    </row>
    <row r="14" spans="1:16" x14ac:dyDescent="0.3">
      <c r="A14" t="s">
        <v>69</v>
      </c>
      <c r="B14" t="s">
        <v>70</v>
      </c>
    </row>
    <row r="15" spans="1:16" x14ac:dyDescent="0.3">
      <c r="A15" t="s">
        <v>68</v>
      </c>
      <c r="B15" s="68" t="s">
        <v>72</v>
      </c>
      <c r="C15" s="65"/>
      <c r="D15" s="65"/>
      <c r="E15" s="65"/>
      <c r="F15" s="65"/>
      <c r="G15" s="65"/>
      <c r="H15" s="65"/>
      <c r="I15" s="65"/>
      <c r="J15" s="65"/>
      <c r="K15" s="65"/>
      <c r="L15" s="65"/>
      <c r="M15" s="65"/>
      <c r="N15" s="65"/>
      <c r="O15" s="65"/>
      <c r="P15" s="65"/>
    </row>
    <row r="16" spans="1:16" x14ac:dyDescent="0.3">
      <c r="B16" s="69" t="s">
        <v>73</v>
      </c>
    </row>
    <row r="17" spans="1:16" x14ac:dyDescent="0.3">
      <c r="B17" t="s">
        <v>71</v>
      </c>
    </row>
    <row r="18" spans="1:16" x14ac:dyDescent="0.3">
      <c r="A18">
        <v>2026</v>
      </c>
      <c r="B18" s="67" t="s">
        <v>76</v>
      </c>
      <c r="C18" s="67"/>
      <c r="D18" s="67"/>
      <c r="E18" s="67"/>
      <c r="F18" s="67"/>
      <c r="G18" s="67"/>
      <c r="H18" s="67"/>
      <c r="I18" s="67"/>
      <c r="J18" s="67"/>
      <c r="K18" s="67"/>
      <c r="L18" s="67"/>
      <c r="M18" s="67"/>
      <c r="N18" s="67"/>
      <c r="O18" s="67"/>
      <c r="P18" s="67"/>
    </row>
    <row r="19" spans="1:16" x14ac:dyDescent="0.3">
      <c r="B19" s="65"/>
      <c r="C19" s="65"/>
      <c r="D19" s="65"/>
      <c r="E19" s="65"/>
      <c r="F19" s="65"/>
      <c r="G19" s="65"/>
      <c r="H19" s="65"/>
      <c r="I19" s="65"/>
      <c r="J19" s="65"/>
      <c r="K19" s="65"/>
      <c r="L19" s="65"/>
      <c r="M19" s="65"/>
      <c r="N19" s="65"/>
      <c r="O19" s="65"/>
      <c r="P19" s="65"/>
    </row>
    <row r="20" spans="1:16" x14ac:dyDescent="0.3">
      <c r="B20" s="65"/>
      <c r="C20" s="65"/>
      <c r="D20" s="65"/>
      <c r="E20" s="65"/>
      <c r="F20" s="65"/>
      <c r="G20" s="65"/>
      <c r="H20" s="65"/>
      <c r="I20" s="65"/>
      <c r="J20" s="65"/>
      <c r="K20" s="65"/>
      <c r="L20" s="65"/>
      <c r="M20" s="65"/>
      <c r="N20" s="65"/>
      <c r="O20" s="65"/>
      <c r="P20" s="65"/>
    </row>
    <row r="21" spans="1:16" x14ac:dyDescent="0.3">
      <c r="B21" s="65"/>
      <c r="C21" s="65"/>
      <c r="D21" s="65"/>
      <c r="E21" s="65"/>
      <c r="F21" s="65"/>
      <c r="G21" s="65"/>
      <c r="H21" s="65"/>
      <c r="I21" s="65"/>
      <c r="J21" s="65"/>
      <c r="K21" s="65"/>
      <c r="L21" s="65"/>
      <c r="M21" s="65"/>
      <c r="N21" s="65"/>
      <c r="O21" s="65"/>
      <c r="P21" s="65"/>
    </row>
    <row r="22" spans="1:16" x14ac:dyDescent="0.3">
      <c r="B22" s="65"/>
      <c r="C22" s="65"/>
      <c r="D22" s="65"/>
      <c r="E22" s="65"/>
      <c r="F22" s="65"/>
      <c r="G22" s="65"/>
      <c r="H22" s="65"/>
      <c r="I22" s="65"/>
      <c r="J22" s="65"/>
      <c r="K22" s="65"/>
      <c r="L22" s="65"/>
      <c r="M22" s="65"/>
      <c r="N22" s="65"/>
      <c r="O22" s="65"/>
      <c r="P22" s="65"/>
    </row>
    <row r="23" spans="1:16" x14ac:dyDescent="0.3">
      <c r="B23" s="65"/>
      <c r="C23" s="65"/>
      <c r="D23" s="65"/>
      <c r="E23" s="65"/>
      <c r="F23" s="65"/>
      <c r="G23" s="65"/>
      <c r="H23" s="65"/>
      <c r="I23" s="65"/>
      <c r="J23" s="65"/>
      <c r="K23" s="65"/>
      <c r="L23" s="65"/>
      <c r="M23" s="65"/>
      <c r="N23" s="65"/>
      <c r="O23" s="65"/>
      <c r="P23" s="65"/>
    </row>
    <row r="24" spans="1:16" x14ac:dyDescent="0.3">
      <c r="B24" s="65"/>
      <c r="C24" s="65"/>
      <c r="D24" s="65"/>
      <c r="E24" s="65"/>
      <c r="F24" s="65"/>
      <c r="G24" s="65"/>
      <c r="H24" s="65"/>
      <c r="I24" s="65"/>
      <c r="J24" s="65"/>
      <c r="K24" s="65"/>
      <c r="L24" s="65"/>
      <c r="M24" s="65"/>
      <c r="N24" s="65"/>
      <c r="O24" s="65"/>
      <c r="P24" s="65"/>
    </row>
    <row r="25" spans="1:16" x14ac:dyDescent="0.3">
      <c r="B25" s="65"/>
      <c r="C25" s="65"/>
      <c r="D25" s="65"/>
      <c r="E25" s="65"/>
      <c r="F25" s="65"/>
      <c r="G25" s="65"/>
      <c r="H25" s="65"/>
      <c r="I25" s="65"/>
      <c r="J25" s="65"/>
      <c r="K25" s="65"/>
      <c r="L25" s="65"/>
      <c r="M25" s="65"/>
      <c r="N25" s="65"/>
      <c r="O25" s="65"/>
      <c r="P25" s="65"/>
    </row>
    <row r="26" spans="1:16" x14ac:dyDescent="0.3">
      <c r="B26" s="65"/>
      <c r="C26" s="65"/>
      <c r="D26" s="65"/>
      <c r="E26" s="65"/>
      <c r="F26" s="65"/>
      <c r="G26" s="65"/>
      <c r="H26" s="65"/>
      <c r="I26" s="65"/>
      <c r="J26" s="65"/>
      <c r="K26" s="65"/>
      <c r="L26" s="65"/>
      <c r="M26" s="65"/>
      <c r="N26" s="65"/>
      <c r="O26" s="65"/>
      <c r="P26" s="65"/>
    </row>
    <row r="27" spans="1:16" x14ac:dyDescent="0.3">
      <c r="B27" s="65"/>
      <c r="C27" s="65"/>
      <c r="D27" s="65"/>
      <c r="E27" s="65"/>
      <c r="F27" s="65"/>
      <c r="G27" s="65"/>
      <c r="H27" s="65"/>
      <c r="I27" s="65"/>
      <c r="J27" s="65"/>
      <c r="K27" s="65"/>
      <c r="L27" s="65"/>
      <c r="M27" s="65"/>
      <c r="N27" s="65"/>
      <c r="O27" s="65"/>
      <c r="P27" s="65"/>
    </row>
    <row r="28" spans="1:16" x14ac:dyDescent="0.3">
      <c r="B28" s="65"/>
      <c r="C28" s="65"/>
      <c r="D28" s="65"/>
      <c r="E28" s="65"/>
      <c r="F28" s="65"/>
      <c r="G28" s="65"/>
      <c r="H28" s="65"/>
      <c r="I28" s="65"/>
      <c r="J28" s="65"/>
      <c r="K28" s="65"/>
      <c r="L28" s="65"/>
      <c r="M28" s="65"/>
      <c r="N28" s="65"/>
      <c r="O28" s="65"/>
      <c r="P28" s="65"/>
    </row>
    <row r="29" spans="1:16" x14ac:dyDescent="0.3">
      <c r="B29" s="65"/>
      <c r="C29" s="65"/>
      <c r="D29" s="65"/>
      <c r="E29" s="65"/>
      <c r="F29" s="65"/>
      <c r="G29" s="65"/>
      <c r="H29" s="65"/>
      <c r="I29" s="65"/>
      <c r="J29" s="65"/>
      <c r="K29" s="65"/>
      <c r="L29" s="65"/>
      <c r="M29" s="65"/>
      <c r="N29" s="65"/>
      <c r="O29" s="65"/>
      <c r="P29" s="65"/>
    </row>
    <row r="30" spans="1:16" x14ac:dyDescent="0.3">
      <c r="B30" s="65"/>
      <c r="C30" s="65"/>
      <c r="D30" s="65"/>
      <c r="E30" s="65"/>
      <c r="F30" s="65"/>
      <c r="G30" s="65"/>
      <c r="H30" s="65"/>
      <c r="I30" s="65"/>
      <c r="J30" s="65"/>
      <c r="K30" s="65"/>
      <c r="L30" s="65"/>
      <c r="M30" s="65"/>
      <c r="N30" s="65"/>
      <c r="O30" s="65"/>
      <c r="P30" s="65"/>
    </row>
    <row r="31" spans="1:16" x14ac:dyDescent="0.3">
      <c r="B31" s="65"/>
      <c r="C31" s="65"/>
      <c r="D31" s="65"/>
      <c r="E31" s="65"/>
      <c r="F31" s="65"/>
      <c r="G31" s="65"/>
      <c r="H31" s="65"/>
      <c r="I31" s="65"/>
      <c r="J31" s="65"/>
      <c r="K31" s="65"/>
      <c r="L31" s="65"/>
      <c r="M31" s="65"/>
      <c r="N31" s="65"/>
      <c r="O31" s="65"/>
      <c r="P31" s="65"/>
    </row>
    <row r="32" spans="1:16" x14ac:dyDescent="0.3">
      <c r="B32" s="65"/>
      <c r="C32" s="65"/>
      <c r="D32" s="65"/>
      <c r="E32" s="65"/>
      <c r="F32" s="65"/>
      <c r="G32" s="65"/>
      <c r="H32" s="65"/>
      <c r="I32" s="65"/>
      <c r="J32" s="65"/>
      <c r="K32" s="65"/>
      <c r="L32" s="65"/>
      <c r="M32" s="65"/>
      <c r="N32" s="65"/>
      <c r="O32" s="65"/>
      <c r="P32" s="65"/>
    </row>
    <row r="33" spans="2:16" x14ac:dyDescent="0.3">
      <c r="B33" s="65"/>
      <c r="C33" s="65"/>
      <c r="D33" s="65"/>
      <c r="E33" s="65"/>
      <c r="F33" s="65"/>
      <c r="G33" s="65"/>
      <c r="H33" s="65"/>
      <c r="I33" s="65"/>
      <c r="J33" s="65"/>
      <c r="K33" s="65"/>
      <c r="L33" s="65"/>
      <c r="M33" s="65"/>
      <c r="N33" s="65"/>
      <c r="O33" s="65"/>
      <c r="P33" s="65"/>
    </row>
    <row r="34" spans="2:16" x14ac:dyDescent="0.3">
      <c r="B34" s="65"/>
      <c r="C34" s="65"/>
      <c r="D34" s="65"/>
      <c r="E34" s="65"/>
      <c r="F34" s="65"/>
      <c r="G34" s="65"/>
      <c r="H34" s="65"/>
      <c r="I34" s="65"/>
      <c r="J34" s="65"/>
      <c r="K34" s="65"/>
      <c r="L34" s="65"/>
      <c r="M34" s="65"/>
      <c r="N34" s="65"/>
      <c r="O34" s="65"/>
      <c r="P34" s="65"/>
    </row>
    <row r="35" spans="2:16" x14ac:dyDescent="0.3">
      <c r="B35" s="65"/>
      <c r="C35" s="65"/>
      <c r="D35" s="65"/>
      <c r="E35" s="65"/>
      <c r="F35" s="65"/>
      <c r="G35" s="65"/>
      <c r="H35" s="65"/>
      <c r="I35" s="65"/>
      <c r="J35" s="65"/>
      <c r="K35" s="65"/>
      <c r="L35" s="65"/>
      <c r="M35" s="65"/>
      <c r="N35" s="65"/>
      <c r="O35" s="65"/>
      <c r="P35" s="65"/>
    </row>
    <row r="36" spans="2:16" x14ac:dyDescent="0.3">
      <c r="B36" s="65"/>
      <c r="C36" s="65"/>
      <c r="D36" s="65"/>
      <c r="E36" s="65"/>
      <c r="F36" s="65"/>
      <c r="G36" s="65"/>
      <c r="H36" s="65"/>
      <c r="I36" s="65"/>
      <c r="J36" s="65"/>
      <c r="K36" s="65"/>
      <c r="L36" s="65"/>
      <c r="M36" s="65"/>
      <c r="N36" s="65"/>
      <c r="O36" s="65"/>
      <c r="P36" s="65"/>
    </row>
    <row r="37" spans="2:16" x14ac:dyDescent="0.3">
      <c r="B37" s="65"/>
      <c r="C37" s="65"/>
      <c r="D37" s="65"/>
      <c r="E37" s="65"/>
      <c r="F37" s="65"/>
      <c r="G37" s="65"/>
      <c r="H37" s="65"/>
      <c r="I37" s="65"/>
      <c r="J37" s="65"/>
      <c r="K37" s="65"/>
      <c r="L37" s="65"/>
      <c r="M37" s="65"/>
      <c r="N37" s="65"/>
      <c r="O37" s="65"/>
      <c r="P37" s="65"/>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20</vt:i4>
      </vt:variant>
    </vt:vector>
  </HeadingPairs>
  <TitlesOfParts>
    <vt:vector size="24" baseType="lpstr">
      <vt:lpstr>Rekenblad</vt:lpstr>
      <vt:lpstr>Kopieren</vt:lpstr>
      <vt:lpstr>Variabelen</vt:lpstr>
      <vt:lpstr>versie</vt:lpstr>
      <vt:lpstr>Rekenblad!Afdrukbereik</vt:lpstr>
      <vt:lpstr>AOW_5</vt:lpstr>
      <vt:lpstr>de_naam</vt:lpstr>
      <vt:lpstr>factorA</vt:lpstr>
      <vt:lpstr>FactorNetto</vt:lpstr>
      <vt:lpstr>FORmax</vt:lpstr>
      <vt:lpstr>FORpercentage</vt:lpstr>
      <vt:lpstr>franchise</vt:lpstr>
      <vt:lpstr>jaar</vt:lpstr>
      <vt:lpstr>loondienst</vt:lpstr>
      <vt:lpstr>Max_nettoinhaal</vt:lpstr>
      <vt:lpstr>maxjaarruimte</vt:lpstr>
      <vt:lpstr>maxPG</vt:lpstr>
      <vt:lpstr>MaxReservering</vt:lpstr>
      <vt:lpstr>maxsalaris</vt:lpstr>
      <vt:lpstr>NettoLijfrente</vt:lpstr>
      <vt:lpstr>NTTO</vt:lpstr>
      <vt:lpstr>ondernemer</vt:lpstr>
      <vt:lpstr>percentage</vt:lpstr>
      <vt:lpstr>rekenjaar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Jeltje Nijdam</dc:creator>
  <cp:lastModifiedBy>Jeltje Nijdam</cp:lastModifiedBy>
  <dcterms:created xsi:type="dcterms:W3CDTF">2023-08-02T09:19:43Z</dcterms:created>
  <dcterms:modified xsi:type="dcterms:W3CDTF">2026-02-02T12:03:39Z</dcterms:modified>
</cp:coreProperties>
</file>